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2.1" sheetId="1" r:id="rId1"/>
    <sheet name="graf1" sheetId="2" r:id="rId2"/>
    <sheet name="calc2.9" sheetId="3" r:id="rId3"/>
    <sheet name="graf9" sheetId="4" r:id="rId4"/>
    <sheet name="limits" sheetId="5" r:id="rId5"/>
    <sheet name="empir&amp;Poi" sheetId="6" r:id="rId6"/>
    <sheet name="sensitivity" sheetId="7" r:id="rId7"/>
  </sheets>
  <definedNames/>
  <calcPr fullCalcOnLoad="1"/>
</workbook>
</file>

<file path=xl/sharedStrings.xml><?xml version="1.0" encoding="utf-8"?>
<sst xmlns="http://schemas.openxmlformats.org/spreadsheetml/2006/main" count="137" uniqueCount="101">
  <si>
    <t>30May2010</t>
  </si>
  <si>
    <t>Inventory management (course notes, Kaufmann)</t>
  </si>
  <si>
    <r>
      <t>N</t>
    </r>
    <r>
      <rPr>
        <sz val="10"/>
        <rFont val="Times New Roman"/>
        <family val="1"/>
      </rPr>
      <t xml:space="preserve"> =</t>
    </r>
  </si>
  <si>
    <r>
      <t>q</t>
    </r>
    <r>
      <rPr>
        <sz val="10"/>
        <rFont val="Times New Roman"/>
        <family val="1"/>
      </rPr>
      <t xml:space="preserve"> =</t>
    </r>
  </si>
  <si>
    <t>d</t>
  </si>
  <si>
    <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</si>
  <si>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t>$/d</t>
  </si>
  <si>
    <r>
      <t>c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</si>
  <si>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</si>
  <si>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</si>
  <si>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 = (</t>
    </r>
    <r>
      <rPr>
        <sz val="10"/>
        <rFont val="Symbol"/>
        <family val="1"/>
      </rPr>
      <t>¬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n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0"/>
      </rPr>
      <t>)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</si>
  <si>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-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</si>
  <si>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</si>
  <si>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</si>
  <si>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$</t>
  </si>
  <si>
    <r>
      <t xml:space="preserve">Quantities referred to time </t>
    </r>
    <r>
      <rPr>
        <i/>
        <sz val="10"/>
        <rFont val="Symbol"/>
        <family val="1"/>
      </rPr>
      <t>q</t>
    </r>
  </si>
  <si>
    <r>
      <t>r</t>
    </r>
    <r>
      <rPr>
        <sz val="10"/>
        <rFont val="Times New Roman"/>
        <family val="1"/>
      </rPr>
      <t xml:space="preserve"> =</t>
    </r>
  </si>
  <si>
    <t>kg/yr</t>
  </si>
  <si>
    <t>yr ?</t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</si>
  <si>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</si>
  <si>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$/kg</t>
  </si>
  <si>
    <r>
      <t>A</t>
    </r>
    <r>
      <rPr>
        <sz val="10"/>
        <rFont val="Times New Roman"/>
        <family val="1"/>
      </rPr>
      <t xml:space="preserve"> =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</si>
  <si>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</si>
  <si>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$/yr</t>
  </si>
  <si>
    <t>$/kg-yr</t>
  </si>
  <si>
    <t>kg</t>
  </si>
  <si>
    <t>yr</t>
  </si>
  <si>
    <t>yr =</t>
  </si>
  <si>
    <t>(1 yr =</t>
  </si>
  <si>
    <t>d)</t>
  </si>
  <si>
    <r>
      <t xml:space="preserve">Purchase cost, </t>
    </r>
    <r>
      <rPr>
        <i/>
        <sz val="10"/>
        <rFont val="Arial Narrow"/>
        <family val="2"/>
      </rPr>
      <t>P</t>
    </r>
    <r>
      <rPr>
        <sz val="10"/>
        <rFont val="Arial Narrow"/>
        <family val="0"/>
      </rPr>
      <t xml:space="preserve"> = </t>
    </r>
    <r>
      <rPr>
        <i/>
        <sz val="10"/>
        <rFont val="Arial Narrow"/>
        <family val="2"/>
      </rPr>
      <t>N c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0"/>
      </rPr>
      <t xml:space="preserve">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</si>
  <si>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</si>
  <si>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t>1) Example from Kaufmann</t>
  </si>
  <si>
    <r>
      <t xml:space="preserve">2) Example from Tavares </t>
    </r>
    <r>
      <rPr>
        <b/>
        <i/>
        <sz val="10"/>
        <rFont val="Arial Narrow"/>
        <family val="2"/>
      </rPr>
      <t>et al.</t>
    </r>
  </si>
  <si>
    <t>Sensitivity</t>
  </si>
  <si>
    <t>n</t>
  </si>
  <si>
    <t>z</t>
  </si>
  <si>
    <r>
      <t>(</t>
    </r>
    <r>
      <rPr>
        <i/>
        <sz val="10"/>
        <rFont val="Symbol"/>
        <family val="1"/>
      </rPr>
      <t>q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/2)</t>
    </r>
    <r>
      <rPr>
        <i/>
        <sz val="10"/>
        <rFont val="Times New Roman"/>
        <family val="1"/>
      </rPr>
      <t>n</t>
    </r>
  </si>
  <si>
    <r>
      <t>N c</t>
    </r>
    <r>
      <rPr>
        <vertAlign val="subscript"/>
        <sz val="10"/>
        <rFont val="Times New Roman"/>
        <family val="1"/>
      </rPr>
      <t>L</t>
    </r>
    <r>
      <rPr>
        <i/>
        <sz val="10"/>
        <rFont val="Times New Roman"/>
        <family val="1"/>
      </rPr>
      <t xml:space="preserve"> / n</t>
    </r>
  </si>
  <si>
    <r>
      <t>T</t>
    </r>
    <r>
      <rPr>
        <sz val="10"/>
        <rFont val="Times New Roman"/>
        <family val="1"/>
      </rPr>
      <t xml:space="preserve"> (d)</t>
    </r>
  </si>
  <si>
    <t>2.1 EOQ &amp; 2.2 Numerical example</t>
  </si>
  <si>
    <t>Economic Order Quantity</t>
  </si>
  <si>
    <r>
      <t xml:space="preserve">Possibly, 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</si>
  <si>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</si>
  <si>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loss</t>
  </si>
  <si>
    <t>Solution adopted:</t>
  </si>
  <si>
    <t>s</t>
  </si>
  <si>
    <t>r</t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</si>
  <si>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</si>
  <si>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</si>
  <si>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—</t>
  </si>
  <si>
    <t>$/M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</si>
  <si>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</si>
  <si>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 xml:space="preserve">s </t>
    </r>
    <r>
      <rPr>
        <sz val="10"/>
        <rFont val="Times New Roman"/>
        <family val="1"/>
      </rPr>
      <t xml:space="preserve"> \  </t>
    </r>
    <r>
      <rPr>
        <i/>
        <sz val="10"/>
        <rFont val="Times New Roman"/>
        <family val="1"/>
      </rPr>
      <t>r</t>
    </r>
  </si>
  <si>
    <r>
      <t>S</t>
    </r>
    <r>
      <rPr>
        <vertAlign val="subscript"/>
        <sz val="10"/>
        <rFont val="Times New Roman"/>
        <family val="1"/>
      </rPr>
      <t>1</t>
    </r>
  </si>
  <si>
    <r>
      <t>S</t>
    </r>
    <r>
      <rPr>
        <vertAlign val="subscript"/>
        <sz val="10"/>
        <rFont val="Times New Roman"/>
        <family val="1"/>
      </rPr>
      <t>2</t>
    </r>
  </si>
  <si>
    <r>
      <t>S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</si>
  <si>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</si>
  <si>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/2</t>
    </r>
  </si>
  <si>
    <r>
      <t>c</t>
    </r>
    <r>
      <rPr>
        <vertAlign val="subscript"/>
        <sz val="10"/>
        <rFont val="Times New Roman"/>
        <family val="1"/>
      </rPr>
      <t>p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/2</t>
    </r>
  </si>
  <si>
    <r>
      <t>S[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)]</t>
    </r>
  </si>
  <si>
    <r>
      <t>S'[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]</t>
    </r>
  </si>
  <si>
    <t>2.9 .11 Armz. + penúria</t>
  </si>
  <si>
    <t>0,01, 0,01, 0,01) the minimum would</t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</si>
  <si>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With the "original" probabilities (0,90, 0,05, 0,02,</t>
    </r>
  </si>
  <si>
    <r>
      <t xml:space="preserve">be </t>
    </r>
    <r>
      <rPr>
        <i/>
        <sz val="10"/>
        <rFont val="Arial Narrow"/>
        <family val="2"/>
      </rPr>
      <t>z</t>
    </r>
    <r>
      <rPr>
        <sz val="10"/>
        <rFont val="Arial Narrow"/>
        <family val="2"/>
      </rPr>
      <t>(1) = 171,225.</t>
    </r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</si>
  <si>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Use these probabilities.</t>
    </r>
  </si>
  <si>
    <t>C. armazenagem: holding cost</t>
  </si>
  <si>
    <t>C. penury: stockout/shortage/runout cost</t>
  </si>
  <si>
    <r>
      <t>m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=</t>
    </r>
  </si>
  <si>
    <t>1/(12n)</t>
  </si>
  <si>
    <t>expon = 1024 lg 2 =</t>
  </si>
  <si>
    <t>tiny = 2^(-1022) =</t>
  </si>
  <si>
    <r>
      <t>LN[tiny.Sqrt(2</t>
    </r>
    <r>
      <rPr>
        <i/>
        <sz val="10"/>
        <rFont val="Symbol"/>
        <family val="1"/>
      </rPr>
      <t>p</t>
    </r>
    <r>
      <rPr>
        <sz val="10"/>
        <rFont val="Times New Roman"/>
        <family val="1"/>
      </rPr>
      <t>)] =</t>
    </r>
  </si>
  <si>
    <r>
      <t>m</t>
    </r>
    <r>
      <rPr>
        <sz val="10"/>
        <rFont val="Times New Roman"/>
        <family val="1"/>
      </rPr>
      <t xml:space="preserve"> =</t>
    </r>
  </si>
  <si>
    <r>
      <t>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+1/2) ln</t>
    </r>
    <r>
      <rPr>
        <i/>
        <sz val="10"/>
        <rFont val="Times New Roman"/>
        <family val="1"/>
      </rPr>
      <t>n</t>
    </r>
  </si>
  <si>
    <r>
      <t>(1+ln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>n</t>
    </r>
  </si>
  <si>
    <r>
      <t xml:space="preserve">= LN </t>
    </r>
    <r>
      <rPr>
        <i/>
        <sz val="10"/>
        <rFont val="Symbol"/>
        <family val="1"/>
      </rPr>
      <t>m</t>
    </r>
  </si>
  <si>
    <r>
      <t>Limit = 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- LN(...) =</t>
    </r>
  </si>
  <si>
    <r>
      <t xml:space="preserve">max 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= -LN(...) =</t>
    </r>
  </si>
  <si>
    <r>
      <t>ln</t>
    </r>
    <r>
      <rPr>
        <i/>
        <sz val="10"/>
        <rFont val="Times New Roman"/>
        <family val="1"/>
      </rPr>
      <t>n</t>
    </r>
  </si>
  <si>
    <t>fn</t>
  </si>
  <si>
    <t>s*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</si>
  <si>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</si>
  <si>
    <t>May2011</t>
  </si>
  <si>
    <r>
      <t>1)</t>
    </r>
    <r>
      <rPr>
        <sz val="10"/>
        <rFont val="Arial Narrow"/>
        <family val="0"/>
      </rPr>
      <t xml:space="preserve"> Verify that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0"/>
      </rPr>
      <t>, not directly from the individual values.</t>
    </r>
  </si>
  <si>
    <t>TABLE 1</t>
  </si>
  <si>
    <r>
      <t>2)</t>
    </r>
    <r>
      <rPr>
        <sz val="10"/>
        <rFont val="Arial Narrow"/>
        <family val="0"/>
      </rPr>
      <t xml:space="preserve"> See (Table 1) how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0"/>
      </rPr>
      <t xml:space="preserve"> .</t>
    </r>
  </si>
  <si>
    <t>TABLE 2</t>
  </si>
  <si>
    <r>
      <t>3)</t>
    </r>
    <r>
      <rPr>
        <sz val="10"/>
        <rFont val="Arial Narrow"/>
        <family val="0"/>
      </rPr>
      <t xml:space="preserve"> Compare (Table 2) with the "homologous" Poisson (i.e., same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, 2,4)</t>
    </r>
  </si>
  <si>
    <t>Empirical &amp; Poisson functions</t>
  </si>
  <si>
    <r>
      <t>pe(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</si>
  <si>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Poi(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</si>
  <si>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Sum:</t>
  </si>
  <si>
    <r>
      <t>exp(-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 =</t>
    </r>
  </si>
  <si>
    <r>
      <t>m</t>
    </r>
    <r>
      <rPr>
        <i/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!</t>
    </r>
  </si>
  <si>
    <r>
      <t>s</t>
    </r>
    <r>
      <rPr>
        <sz val="10"/>
        <rFont val="Times New Roman"/>
        <family val="1"/>
      </rPr>
      <t xml:space="preserve"> =</t>
    </r>
  </si>
  <si>
    <t>=C-D-E</t>
  </si>
  <si>
    <t>infinity</t>
  </si>
  <si>
    <t>Use:</t>
  </si>
  <si>
    <t>http://web.ist.utl.pt/~mcasquilho/compute/or/Fx-inventoryRand.php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</si>
</sst>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%"/>
    <numFmt numFmtId="167" formatCode="0.0000000000000000E+00"/>
    <numFmt numFmtId="168" formatCode="0.00000000000000E+00"/>
    <numFmt numFmtId="169" formatCode="0.0E+00"/>
    <numFmt numFmtId="170" formatCode="0.0"/>
  </numFmts>
  <fonts count="43">
    <font>
      <sz val="10"/>
      <name val="Arial Narrow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vertAlign val="subscript"/>
      <sz val="10"/>
      <name val="Times New Roman"/>
      <family val="1"/>
    </font>
    <font>
      <b/>
      <sz val="9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  <font>
      <sz val="10"/>
      <name val="Symbol"/>
      <family val="1"/>
    </font>
    <font>
      <b/>
      <i/>
      <sz val="10"/>
      <name val="Arial Narrow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.35"/>
      <color indexed="8"/>
      <name val="Times New Roman"/>
      <family val="1"/>
    </font>
    <font>
      <sz val="10.75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sz val="13.25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i/>
      <sz val="14.5"/>
      <name val="Times New Roman"/>
      <family val="1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7" borderId="0" xfId="0" applyNumberFormat="1" applyFill="1" applyAlignment="1">
      <alignment horizontal="center"/>
    </xf>
    <xf numFmtId="0" fontId="7" fillId="0" borderId="0" xfId="0" applyFont="1" applyAlignment="1" quotePrefix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48" fontId="0" fillId="10" borderId="0" xfId="0" applyNumberFormat="1" applyFill="1" applyAlignment="1">
      <alignment horizontal="center"/>
    </xf>
    <xf numFmtId="0" fontId="4" fillId="0" borderId="10" xfId="0" applyFont="1" applyBorder="1" applyAlignment="1">
      <alignment horizontal="right"/>
    </xf>
    <xf numFmtId="0" fontId="0" fillId="1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1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10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1" fontId="0" fillId="7" borderId="18" xfId="0" applyNumberForma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7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3" fillId="24" borderId="22" xfId="0" applyFont="1" applyFill="1" applyBorder="1" applyAlignment="1">
      <alignment horizontal="right"/>
    </xf>
    <xf numFmtId="0" fontId="0" fillId="24" borderId="22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0" borderId="0" xfId="0" applyFill="1" applyAlignment="1">
      <alignment/>
    </xf>
    <xf numFmtId="0" fontId="2" fillId="0" borderId="31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2" fillId="10" borderId="0" xfId="0" applyNumberFormat="1" applyFont="1" applyFill="1" applyAlignment="1">
      <alignment horizontal="center"/>
    </xf>
    <xf numFmtId="0" fontId="0" fillId="7" borderId="32" xfId="0" applyFill="1" applyBorder="1" applyAlignment="1">
      <alignment horizontal="center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7" borderId="0" xfId="0" applyFill="1" applyAlignment="1">
      <alignment horizontal="center"/>
    </xf>
    <xf numFmtId="0" fontId="3" fillId="0" borderId="0" xfId="0" applyFont="1" applyAlignment="1" quotePrefix="1">
      <alignment/>
    </xf>
    <xf numFmtId="0" fontId="0" fillId="7" borderId="18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9" fontId="0" fillId="0" borderId="0" xfId="0" applyNumberFormat="1" applyAlignment="1">
      <alignment/>
    </xf>
    <xf numFmtId="0" fontId="5" fillId="0" borderId="33" xfId="0" applyFont="1" applyBorder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4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Costs; period, 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(days)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325"/>
          <c:w val="0.7155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'calc2.1'!$B$22</c:f>
              <c:strCache>
                <c:ptCount val="1"/>
                <c:pt idx="0">
                  <c:v>(qcs/2)n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'calc2.1'!$B$23:$B$33</c:f>
              <c:numCache>
                <c:ptCount val="11"/>
                <c:pt idx="0">
                  <c:v>125</c:v>
                </c:pt>
                <c:pt idx="1">
                  <c:v>137.5</c:v>
                </c:pt>
                <c:pt idx="2">
                  <c:v>150</c:v>
                </c:pt>
                <c:pt idx="3">
                  <c:v>162.5</c:v>
                </c:pt>
                <c:pt idx="4">
                  <c:v>175</c:v>
                </c:pt>
                <c:pt idx="5">
                  <c:v>187.5</c:v>
                </c:pt>
                <c:pt idx="6">
                  <c:v>200</c:v>
                </c:pt>
                <c:pt idx="7">
                  <c:v>212.5</c:v>
                </c:pt>
                <c:pt idx="8">
                  <c:v>225</c:v>
                </c:pt>
                <c:pt idx="9">
                  <c:v>237.5</c:v>
                </c:pt>
                <c:pt idx="10">
                  <c:v>250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'calc2.1'!$C$22</c:f>
              <c:strCache>
                <c:ptCount val="1"/>
                <c:pt idx="0">
                  <c:v>N cL / 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'calc2.1'!$C$23:$C$33</c:f>
              <c:numCache>
                <c:ptCount val="11"/>
                <c:pt idx="0">
                  <c:v>360</c:v>
                </c:pt>
                <c:pt idx="1">
                  <c:v>327.27272727272725</c:v>
                </c:pt>
                <c:pt idx="2">
                  <c:v>300</c:v>
                </c:pt>
                <c:pt idx="3">
                  <c:v>276.9230769230769</c:v>
                </c:pt>
                <c:pt idx="4">
                  <c:v>257.14285714285717</c:v>
                </c:pt>
                <c:pt idx="5">
                  <c:v>240</c:v>
                </c:pt>
                <c:pt idx="6">
                  <c:v>225</c:v>
                </c:pt>
                <c:pt idx="7">
                  <c:v>211.76470588235293</c:v>
                </c:pt>
                <c:pt idx="8">
                  <c:v>200</c:v>
                </c:pt>
                <c:pt idx="9">
                  <c:v>189.47368421052633</c:v>
                </c:pt>
                <c:pt idx="10">
                  <c:v>180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'calc2.1'!$D$22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'calc2.1'!$D$23:$D$33</c:f>
              <c:numCache>
                <c:ptCount val="11"/>
                <c:pt idx="0">
                  <c:v>485</c:v>
                </c:pt>
                <c:pt idx="1">
                  <c:v>464.77272727272725</c:v>
                </c:pt>
                <c:pt idx="2">
                  <c:v>450</c:v>
                </c:pt>
                <c:pt idx="3">
                  <c:v>439.4230769230769</c:v>
                </c:pt>
                <c:pt idx="4">
                  <c:v>432.14285714285717</c:v>
                </c:pt>
                <c:pt idx="5">
                  <c:v>427.5</c:v>
                </c:pt>
                <c:pt idx="6">
                  <c:v>425</c:v>
                </c:pt>
                <c:pt idx="7">
                  <c:v>424.2647058823529</c:v>
                </c:pt>
                <c:pt idx="8">
                  <c:v>425</c:v>
                </c:pt>
                <c:pt idx="9">
                  <c:v>426.97368421052636</c:v>
                </c:pt>
                <c:pt idx="10">
                  <c:v>430</c:v>
                </c:pt>
              </c:numCache>
            </c:numRef>
          </c:yVal>
          <c:smooth val="0"/>
        </c:ser>
        <c:axId val="16571931"/>
        <c:axId val="4254832"/>
      </c:scatterChart>
      <c:scatterChart>
        <c:scatterStyle val="lineMarker"/>
        <c:varyColors val="0"/>
        <c:ser>
          <c:idx val="3"/>
          <c:order val="3"/>
          <c:tx>
            <c:strRef>
              <c:f>'calc2.1'!$E$22</c:f>
              <c:strCache>
                <c:ptCount val="1"/>
                <c:pt idx="0">
                  <c:v>T (d)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'calc2.1'!$E$23:$E$33</c:f>
              <c:numCache>
                <c:ptCount val="11"/>
                <c:pt idx="0">
                  <c:v>15</c:v>
                </c:pt>
                <c:pt idx="1">
                  <c:v>16.5</c:v>
                </c:pt>
                <c:pt idx="2">
                  <c:v>18</c:v>
                </c:pt>
                <c:pt idx="3">
                  <c:v>19.5</c:v>
                </c:pt>
                <c:pt idx="4">
                  <c:v>21</c:v>
                </c:pt>
                <c:pt idx="5">
                  <c:v>22.5</c:v>
                </c:pt>
                <c:pt idx="6">
                  <c:v>24</c:v>
                </c:pt>
                <c:pt idx="7">
                  <c:v>25.5</c:v>
                </c:pt>
                <c:pt idx="8">
                  <c:v>27</c:v>
                </c:pt>
                <c:pt idx="9">
                  <c:v>28.5</c:v>
                </c:pt>
                <c:pt idx="10">
                  <c:v>30</c:v>
                </c:pt>
              </c:numCache>
            </c:numRef>
          </c:yVal>
          <c:smooth val="0"/>
        </c:ser>
        <c:axId val="58218161"/>
        <c:axId val="61646894"/>
      </c:scatterChart>
      <c:valAx>
        <c:axId val="16571931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, order size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54832"/>
        <c:crosses val="autoZero"/>
        <c:crossBetween val="midCat"/>
        <c:dispUnits/>
        <c:majorUnit val="10"/>
      </c:valAx>
      <c:valAx>
        <c:axId val="42548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cost, $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71931"/>
        <c:crosses val="autoZero"/>
        <c:crossBetween val="midCat"/>
        <c:dispUnits/>
      </c:valAx>
      <c:valAx>
        <c:axId val="58218161"/>
        <c:scaling>
          <c:orientation val="minMax"/>
        </c:scaling>
        <c:axPos val="b"/>
        <c:delete val="1"/>
        <c:majorTickMark val="out"/>
        <c:minorTickMark val="none"/>
        <c:tickLblPos val="none"/>
        <c:crossAx val="61646894"/>
        <c:crosses val="max"/>
        <c:crossBetween val="midCat"/>
        <c:dispUnits/>
      </c:valAx>
      <c:valAx>
        <c:axId val="61646894"/>
        <c:scaling>
          <c:orientation val="minMax"/>
          <c:max val="36"/>
          <c:min val="1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1816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5225"/>
          <c:w val="0.159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Stocks with shortage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35"/>
          <c:w val="0.896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'calc2.9'!$H$6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'calc2.9'!$A$7:$A$13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'calc2.9'!$H$7:$H$13</c:f>
              <c:numCache>
                <c:ptCount val="7"/>
                <c:pt idx="0">
                  <c:v>2400</c:v>
                </c:pt>
                <c:pt idx="1">
                  <c:v>1077.25</c:v>
                </c:pt>
                <c:pt idx="2">
                  <c:v>479</c:v>
                </c:pt>
                <c:pt idx="3">
                  <c:v>290.25000000000006</c:v>
                </c:pt>
                <c:pt idx="4">
                  <c:v>301.00000000000006</c:v>
                </c:pt>
                <c:pt idx="5">
                  <c:v>380</c:v>
                </c:pt>
                <c:pt idx="6">
                  <c:v>480</c:v>
                </c:pt>
              </c:numCache>
            </c:numRef>
          </c:yVal>
          <c:smooth val="0"/>
        </c:ser>
        <c:axId val="2364151"/>
        <c:axId val="9995484"/>
      </c:scatterChart>
      <c:valAx>
        <c:axId val="236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0115"/>
              <c:y val="0.0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995484"/>
        <c:crosses val="autoZero"/>
        <c:crossBetween val="midCat"/>
        <c:dispUnits/>
      </c:valAx>
      <c:valAx>
        <c:axId val="9995484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1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6415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Empirical &amp; Poisson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2525"/>
          <c:w val="0.88325"/>
          <c:h val="0.8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'empir&amp;Poi'!$B$7</c:f>
              <c:strCache>
                <c:ptCount val="1"/>
                <c:pt idx="0">
                  <c:v>pe(r)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'empir&amp;Poi'!$A$8:$A$16</c:f>
              <c:numCache/>
            </c:numRef>
          </c:xVal>
          <c:yVal>
            <c:numRef>
              <c:f>'empir&amp;Poi'!$B$8:$B$16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'empir&amp;Poi'!$A$8:$A$20</c:f>
              <c:numCache/>
            </c:numRef>
          </c:xVal>
          <c:yVal>
            <c:numRef>
              <c:f>'empir&amp;Poi'!$D$8:$D$20</c:f>
              <c:numCache/>
            </c:numRef>
          </c:yVal>
          <c:smooth val="1"/>
        </c:ser>
        <c:axId val="5744749"/>
        <c:axId val="14885370"/>
      </c:scatterChart>
      <c:valAx>
        <c:axId val="57447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1" u="none" baseline="0"/>
                  <a:t>r</a:t>
                </a:r>
              </a:p>
            </c:rich>
          </c:tx>
          <c:layout>
            <c:manualLayout>
              <c:xMode val="factor"/>
              <c:yMode val="factor"/>
              <c:x val="0.02775"/>
              <c:y val="0.0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4885370"/>
        <c:crosses val="autoZero"/>
        <c:crossBetween val="midCat"/>
        <c:dispUnits/>
      </c:valAx>
      <c:valAx>
        <c:axId val="148853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p(</a:t>
                </a:r>
                <a:r>
                  <a:rPr lang="en-US" cap="none" sz="1450" b="0" i="1" u="none" baseline="0"/>
                  <a:t>r</a:t>
                </a:r>
                <a:r>
                  <a:rPr lang="en-US" cap="none" sz="145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744749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Order size</a:t>
            </a:r>
          </a:p>
        </c:rich>
      </c:tx>
      <c:layout>
        <c:manualLayout>
          <c:xMode val="factor"/>
          <c:yMode val="factor"/>
          <c:x val="-0.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093"/>
          <c:w val="0.85"/>
          <c:h val="0.907"/>
        </c:manualLayout>
      </c:layout>
      <c:scatterChart>
        <c:scatterStyle val="smoothMarker"/>
        <c:varyColors val="0"/>
        <c:ser>
          <c:idx val="0"/>
          <c:order val="0"/>
          <c:tx>
            <c:v>empir.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sensitivity!$A$9:$A$14</c:f>
              <c:numCache/>
            </c:numRef>
          </c:xVal>
          <c:yVal>
            <c:numRef>
              <c:f>sensitivity!$B$9:$B$14</c:f>
              <c:numCache/>
            </c:numRef>
          </c:yVal>
          <c:smooth val="1"/>
        </c:ser>
        <c:ser>
          <c:idx val="2"/>
          <c:order val="1"/>
          <c:tx>
            <c:v>Poisson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sensitivity!$D$9:$D$17</c:f>
              <c:numCache/>
            </c:numRef>
          </c:xVal>
          <c:yVal>
            <c:numRef>
              <c:f>sensitivity!$E$9:$E$17</c:f>
              <c:numCache/>
            </c:numRef>
          </c:yVal>
          <c:smooth val="1"/>
        </c:ser>
        <c:axId val="35592339"/>
        <c:axId val="23649032"/>
      </c:scatterChart>
      <c:valAx>
        <c:axId val="355923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cp/cs</a:t>
                </a:r>
              </a:p>
            </c:rich>
          </c:tx>
          <c:layout>
            <c:manualLayout>
              <c:xMode val="factor"/>
              <c:yMode val="factor"/>
              <c:x val="0.036"/>
              <c:y val="0.0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649032"/>
        <c:crosses val="autoZero"/>
        <c:crossBetween val="midCat"/>
        <c:dispUnits/>
      </c:valAx>
      <c:valAx>
        <c:axId val="23649032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s*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59233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1.57" right="0.75" top="1" bottom="6.69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37" right="0.75" top="1" bottom="5.98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419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863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10</xdr:col>
      <xdr:colOff>457200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3057525" y="0"/>
        <a:ext cx="2733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0</xdr:rowOff>
    </xdr:from>
    <xdr:to>
      <xdr:col>10</xdr:col>
      <xdr:colOff>438150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3457575" y="0"/>
        <a:ext cx="2371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eb.ist.utl.pt/~mcasquilho/compute/or/Fx-inventoryRand.ph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0</v>
      </c>
      <c r="C1" s="1" t="s">
        <v>1</v>
      </c>
    </row>
    <row r="2" spans="2:6" ht="12.75">
      <c r="B2" s="1" t="s">
        <v>40</v>
      </c>
      <c r="F2" t="s">
        <v>41</v>
      </c>
    </row>
    <row r="3" ht="12.75">
      <c r="A3" s="1" t="s">
        <v>32</v>
      </c>
    </row>
    <row r="4" spans="1:5" ht="12.75">
      <c r="A4" s="2" t="s">
        <v>2</v>
      </c>
      <c r="B4" s="11">
        <v>120000</v>
      </c>
      <c r="E4" s="30" t="s">
        <v>15</v>
      </c>
    </row>
    <row r="5" spans="1:8" ht="15.75">
      <c r="A5" s="4" t="s">
        <v>3</v>
      </c>
      <c r="B5" s="11">
        <v>360</v>
      </c>
      <c r="C5" t="s">
        <v>4</v>
      </c>
      <c r="H5" t="s">
        <v>10</v>
      </c>
    </row>
    <row r="6" spans="1:8" ht="15" thickBot="1">
      <c r="A6" s="2" t="s">
        <v>5</v>
      </c>
      <c r="B6" s="11">
        <v>3.5</v>
      </c>
      <c r="C6" t="s">
        <v>6</v>
      </c>
      <c r="D6" s="2" t="s">
        <v>11</v>
      </c>
      <c r="E6" s="8">
        <f>INT($E$7)</f>
        <v>7559</v>
      </c>
      <c r="H6" s="10">
        <f>$B$5*$E$6/$B$4</f>
        <v>22.677</v>
      </c>
    </row>
    <row r="7" spans="1:11" ht="15" thickBot="1">
      <c r="A7" s="2" t="s">
        <v>7</v>
      </c>
      <c r="B7" s="12">
        <v>300000</v>
      </c>
      <c r="C7" t="s">
        <v>6</v>
      </c>
      <c r="D7" s="2" t="s">
        <v>8</v>
      </c>
      <c r="E7" s="6">
        <f>SQRT(2*$B$4*$B$7/($B$5*$B$6))</f>
        <v>7559.289460184545</v>
      </c>
      <c r="F7" s="2" t="s">
        <v>9</v>
      </c>
      <c r="G7" s="6">
        <f>SQRT(2*$B$5*$B$7/($B$4*$B$6))</f>
        <v>22.677868380553633</v>
      </c>
      <c r="H7" s="10">
        <f>$B$5*$E$7/$B$4</f>
        <v>22.677868380553633</v>
      </c>
      <c r="I7" s="2" t="s">
        <v>13</v>
      </c>
      <c r="J7" s="26">
        <f>SQRT(2*$B$4*$B$5*$B$6*$B$7)</f>
        <v>9524704.719832527</v>
      </c>
      <c r="K7" t="s">
        <v>14</v>
      </c>
    </row>
    <row r="8" spans="4:8" ht="14.25">
      <c r="D8" s="2" t="s">
        <v>12</v>
      </c>
      <c r="E8" s="8">
        <f>INT($E$7)+1</f>
        <v>7560</v>
      </c>
      <c r="H8" s="10">
        <f>$B$5*$E$8/$B$4</f>
        <v>22.68</v>
      </c>
    </row>
    <row r="9" spans="4:8" ht="12.75">
      <c r="D9" s="2"/>
      <c r="E9" s="8"/>
      <c r="H9" s="10"/>
    </row>
    <row r="10" ht="13.5" thickBot="1">
      <c r="A10" s="1" t="s">
        <v>33</v>
      </c>
    </row>
    <row r="11" spans="1:4" ht="12.75">
      <c r="A11" s="13" t="s">
        <v>16</v>
      </c>
      <c r="B11" s="14">
        <v>1200</v>
      </c>
      <c r="C11" s="15" t="s">
        <v>17</v>
      </c>
      <c r="D11" t="s">
        <v>18</v>
      </c>
    </row>
    <row r="12" spans="1:3" ht="14.25">
      <c r="A12" s="16" t="s">
        <v>19</v>
      </c>
      <c r="B12" s="17">
        <v>20</v>
      </c>
      <c r="C12" s="18" t="s">
        <v>20</v>
      </c>
    </row>
    <row r="13" spans="1:3" ht="12.75">
      <c r="A13" s="16" t="s">
        <v>21</v>
      </c>
      <c r="B13" s="17">
        <v>15</v>
      </c>
      <c r="C13" s="18" t="s">
        <v>14</v>
      </c>
    </row>
    <row r="14" spans="1:3" ht="15" thickBot="1">
      <c r="A14" s="19" t="s">
        <v>22</v>
      </c>
      <c r="B14" s="20">
        <f>0.25*$B$12</f>
        <v>5</v>
      </c>
      <c r="C14" s="21" t="s">
        <v>24</v>
      </c>
    </row>
    <row r="15" spans="1:5" ht="12.75">
      <c r="A15" s="2" t="s">
        <v>2</v>
      </c>
      <c r="B15" s="11">
        <v>1200</v>
      </c>
      <c r="C15" s="22" t="s">
        <v>25</v>
      </c>
      <c r="E15" s="30" t="s">
        <v>15</v>
      </c>
    </row>
    <row r="16" spans="1:3" ht="12.75">
      <c r="A16" s="4" t="s">
        <v>3</v>
      </c>
      <c r="B16" s="11">
        <v>1</v>
      </c>
      <c r="C16" t="s">
        <v>26</v>
      </c>
    </row>
    <row r="17" spans="1:11" ht="14.25">
      <c r="A17" s="2" t="s">
        <v>5</v>
      </c>
      <c r="B17" s="11">
        <f>$B$14</f>
        <v>5</v>
      </c>
      <c r="C17" t="s">
        <v>23</v>
      </c>
      <c r="I17" s="25" t="s">
        <v>28</v>
      </c>
      <c r="J17" s="3">
        <v>360</v>
      </c>
      <c r="K17" t="s">
        <v>29</v>
      </c>
    </row>
    <row r="18" spans="1:11" ht="15" thickBot="1">
      <c r="A18" s="2" t="s">
        <v>7</v>
      </c>
      <c r="B18" s="23">
        <f>$B$13</f>
        <v>15</v>
      </c>
      <c r="C18" t="s">
        <v>14</v>
      </c>
      <c r="D18" s="2" t="s">
        <v>8</v>
      </c>
      <c r="E18" s="6">
        <f>SQRT(2*$B$15*$B$18/($B$16*$B$17))</f>
        <v>84.8528137423857</v>
      </c>
      <c r="F18" t="s">
        <v>25</v>
      </c>
      <c r="G18" s="2" t="s">
        <v>9</v>
      </c>
      <c r="H18" s="24">
        <f>SQRT(2*$B$16*$B$18/($B$15*$B$17))</f>
        <v>0.07071067811865475</v>
      </c>
      <c r="I18" t="s">
        <v>27</v>
      </c>
      <c r="J18" s="6">
        <f>$H$18*360</f>
        <v>25.45584412271571</v>
      </c>
      <c r="K18" t="s">
        <v>4</v>
      </c>
    </row>
    <row r="19" spans="9:11" ht="15" thickBot="1">
      <c r="I19" s="2" t="s">
        <v>13</v>
      </c>
      <c r="J19" s="27">
        <f>SQRT(2*$B$15*$B$16*$B$17*$B$18)</f>
        <v>424.26406871192853</v>
      </c>
      <c r="K19" t="s">
        <v>14</v>
      </c>
    </row>
    <row r="20" spans="3:10" ht="15.75">
      <c r="C20" s="25" t="s">
        <v>30</v>
      </c>
      <c r="D20" s="3">
        <f>$B$11*$B$12</f>
        <v>24000</v>
      </c>
      <c r="E20" t="s">
        <v>14</v>
      </c>
      <c r="I20" s="2" t="s">
        <v>31</v>
      </c>
      <c r="J20" s="29">
        <f>$J$19/$D$20</f>
        <v>0.017677669529663688</v>
      </c>
    </row>
    <row r="21" spans="1:7" ht="12.75">
      <c r="A21" s="1" t="s">
        <v>34</v>
      </c>
      <c r="G21" s="1" t="s">
        <v>45</v>
      </c>
    </row>
    <row r="22" spans="1:11" ht="15" thickBot="1">
      <c r="A22" s="31" t="s">
        <v>35</v>
      </c>
      <c r="B22" s="32" t="s">
        <v>37</v>
      </c>
      <c r="C22" s="31" t="s">
        <v>38</v>
      </c>
      <c r="D22" s="31" t="s">
        <v>36</v>
      </c>
      <c r="E22" s="31" t="s">
        <v>39</v>
      </c>
      <c r="H22" s="38"/>
      <c r="I22" s="37" t="s">
        <v>42</v>
      </c>
      <c r="J22" s="35">
        <v>28</v>
      </c>
      <c r="K22" s="36" t="s">
        <v>4</v>
      </c>
    </row>
    <row r="23" spans="1:11" ht="15" thickTop="1">
      <c r="A23" s="3">
        <v>50</v>
      </c>
      <c r="B23" s="5">
        <f>$B$16*$B$17/2*$A23</f>
        <v>125</v>
      </c>
      <c r="C23" s="5">
        <f>$B$15*$B$18/$A23</f>
        <v>360</v>
      </c>
      <c r="D23" s="5">
        <f>$B23+$C23</f>
        <v>485</v>
      </c>
      <c r="E23" s="33">
        <f>$B$16*$A23/$B$15*$J$17</f>
        <v>15</v>
      </c>
      <c r="I23" s="2" t="s">
        <v>8</v>
      </c>
      <c r="J23" s="39">
        <f>$B$15*$J$22/$J$17/$B$16</f>
        <v>93.33333333333333</v>
      </c>
      <c r="K23" t="s">
        <v>25</v>
      </c>
    </row>
    <row r="24" spans="1:11" ht="14.25">
      <c r="A24" s="3">
        <f>A23+5</f>
        <v>55</v>
      </c>
      <c r="B24" s="5">
        <f aca="true" t="shared" si="0" ref="B24:B33">$B$16*$B$17/2*$A24</f>
        <v>137.5</v>
      </c>
      <c r="C24" s="5">
        <f aca="true" t="shared" si="1" ref="C24:C33">$B$15*$B$18/$A24</f>
        <v>327.27272727272725</v>
      </c>
      <c r="D24" s="5">
        <f aca="true" t="shared" si="2" ref="D24:D33">$B24+$C24</f>
        <v>464.77272727272725</v>
      </c>
      <c r="E24" s="33">
        <f aca="true" t="shared" si="3" ref="E24:E33">$B$16*$A24/$B$15*$J$17</f>
        <v>16.5</v>
      </c>
      <c r="I24" s="2" t="s">
        <v>13</v>
      </c>
      <c r="J24" s="39">
        <f>$B$15*$B$18/$J$23+$B$16*$B$17/2*$J$23</f>
        <v>426.19047619047615</v>
      </c>
      <c r="K24" t="s">
        <v>14</v>
      </c>
    </row>
    <row r="25" spans="1:11" ht="14.25">
      <c r="A25" s="3">
        <f aca="true" t="shared" si="4" ref="A25:A33">A24+5</f>
        <v>60</v>
      </c>
      <c r="B25" s="5">
        <f t="shared" si="0"/>
        <v>150</v>
      </c>
      <c r="C25" s="5">
        <f t="shared" si="1"/>
        <v>300</v>
      </c>
      <c r="D25" s="5">
        <f t="shared" si="2"/>
        <v>450</v>
      </c>
      <c r="E25" s="33">
        <f t="shared" si="3"/>
        <v>18</v>
      </c>
      <c r="I25" s="40" t="s">
        <v>43</v>
      </c>
      <c r="J25" s="28">
        <f>($J$24-$J$19)/$J$19</f>
        <v>0.004540585971364994</v>
      </c>
      <c r="K25" t="s">
        <v>44</v>
      </c>
    </row>
    <row r="26" spans="1:5" ht="12.75">
      <c r="A26" s="3">
        <f t="shared" si="4"/>
        <v>65</v>
      </c>
      <c r="B26" s="5">
        <f t="shared" si="0"/>
        <v>162.5</v>
      </c>
      <c r="C26" s="5">
        <f t="shared" si="1"/>
        <v>276.9230769230769</v>
      </c>
      <c r="D26" s="5">
        <f t="shared" si="2"/>
        <v>439.4230769230769</v>
      </c>
      <c r="E26" s="33">
        <f t="shared" si="3"/>
        <v>19.5</v>
      </c>
    </row>
    <row r="27" spans="1:5" ht="12.75">
      <c r="A27" s="3">
        <f t="shared" si="4"/>
        <v>70</v>
      </c>
      <c r="B27" s="5">
        <f t="shared" si="0"/>
        <v>175</v>
      </c>
      <c r="C27" s="5">
        <f t="shared" si="1"/>
        <v>257.14285714285717</v>
      </c>
      <c r="D27" s="5">
        <f t="shared" si="2"/>
        <v>432.14285714285717</v>
      </c>
      <c r="E27" s="33">
        <f t="shared" si="3"/>
        <v>21</v>
      </c>
    </row>
    <row r="28" spans="1:5" ht="12.75">
      <c r="A28" s="3">
        <f t="shared" si="4"/>
        <v>75</v>
      </c>
      <c r="B28" s="5">
        <f t="shared" si="0"/>
        <v>187.5</v>
      </c>
      <c r="C28" s="5">
        <f t="shared" si="1"/>
        <v>240</v>
      </c>
      <c r="D28" s="5">
        <f t="shared" si="2"/>
        <v>427.5</v>
      </c>
      <c r="E28" s="33">
        <f t="shared" si="3"/>
        <v>22.5</v>
      </c>
    </row>
    <row r="29" spans="1:5" ht="12.75">
      <c r="A29" s="3">
        <f t="shared" si="4"/>
        <v>80</v>
      </c>
      <c r="B29" s="5">
        <f t="shared" si="0"/>
        <v>200</v>
      </c>
      <c r="C29" s="5">
        <f t="shared" si="1"/>
        <v>225</v>
      </c>
      <c r="D29" s="5">
        <f t="shared" si="2"/>
        <v>425</v>
      </c>
      <c r="E29" s="33">
        <f t="shared" si="3"/>
        <v>24</v>
      </c>
    </row>
    <row r="30" spans="1:5" ht="12.75">
      <c r="A30" s="3">
        <f t="shared" si="4"/>
        <v>85</v>
      </c>
      <c r="B30" s="5">
        <f t="shared" si="0"/>
        <v>212.5</v>
      </c>
      <c r="C30" s="5">
        <f t="shared" si="1"/>
        <v>211.76470588235293</v>
      </c>
      <c r="D30" s="5">
        <f t="shared" si="2"/>
        <v>424.2647058823529</v>
      </c>
      <c r="E30" s="33">
        <f t="shared" si="3"/>
        <v>25.5</v>
      </c>
    </row>
    <row r="31" spans="1:5" ht="12.75">
      <c r="A31" s="3">
        <f t="shared" si="4"/>
        <v>90</v>
      </c>
      <c r="B31" s="5">
        <f t="shared" si="0"/>
        <v>225</v>
      </c>
      <c r="C31" s="5">
        <f t="shared" si="1"/>
        <v>200</v>
      </c>
      <c r="D31" s="5">
        <f t="shared" si="2"/>
        <v>425</v>
      </c>
      <c r="E31" s="33">
        <f t="shared" si="3"/>
        <v>27</v>
      </c>
    </row>
    <row r="32" spans="1:5" ht="12.75">
      <c r="A32" s="3">
        <f t="shared" si="4"/>
        <v>95</v>
      </c>
      <c r="B32" s="5">
        <f t="shared" si="0"/>
        <v>237.5</v>
      </c>
      <c r="C32" s="5">
        <f t="shared" si="1"/>
        <v>189.47368421052633</v>
      </c>
      <c r="D32" s="5">
        <f t="shared" si="2"/>
        <v>426.97368421052636</v>
      </c>
      <c r="E32" s="33">
        <f t="shared" si="3"/>
        <v>28.5</v>
      </c>
    </row>
    <row r="33" spans="1:5" ht="12.75">
      <c r="A33" s="3">
        <f t="shared" si="4"/>
        <v>100</v>
      </c>
      <c r="B33" s="5">
        <f t="shared" si="0"/>
        <v>250</v>
      </c>
      <c r="C33" s="5">
        <f t="shared" si="1"/>
        <v>180</v>
      </c>
      <c r="D33" s="5">
        <f t="shared" si="2"/>
        <v>430</v>
      </c>
      <c r="E33" s="33">
        <f t="shared" si="3"/>
        <v>30</v>
      </c>
    </row>
    <row r="34" spans="1:1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33203125" defaultRowHeight="12.75"/>
  <sheetData>
    <row r="1" ht="13.5">
      <c r="A1" s="7" t="s">
        <v>84</v>
      </c>
    </row>
    <row r="2" spans="1:2" ht="12.75">
      <c r="A2" s="64"/>
      <c r="B2" s="1" t="s">
        <v>62</v>
      </c>
    </row>
    <row r="3" spans="1:3" ht="14.25">
      <c r="A3" s="2" t="s">
        <v>5</v>
      </c>
      <c r="B3" s="11">
        <v>100</v>
      </c>
      <c r="C3" t="s">
        <v>51</v>
      </c>
    </row>
    <row r="4" spans="1:11" ht="14.25">
      <c r="A4" s="2" t="s">
        <v>52</v>
      </c>
      <c r="B4" s="11">
        <f>20*$B$3</f>
        <v>2000</v>
      </c>
      <c r="C4" t="s">
        <v>51</v>
      </c>
      <c r="I4" s="4" t="s">
        <v>69</v>
      </c>
      <c r="J4" s="68">
        <f>SUMPRODUCT(I7:I13,J7:J13)</f>
        <v>2.4</v>
      </c>
      <c r="K4" s="68">
        <f>SQRT(SUMPRODUCT(I7:I13,I7:I13,J7:J13)-J4^2)</f>
        <v>1.42828568570857</v>
      </c>
    </row>
    <row r="5" spans="1:13" ht="14.25">
      <c r="A5" s="2"/>
      <c r="J5" s="66" t="s">
        <v>66</v>
      </c>
      <c r="L5" s="3"/>
      <c r="M5" s="45" t="s">
        <v>55</v>
      </c>
    </row>
    <row r="6" spans="1:13" ht="17.25" thickBot="1">
      <c r="A6" s="31" t="s">
        <v>46</v>
      </c>
      <c r="B6" s="50" t="s">
        <v>54</v>
      </c>
      <c r="C6" s="31" t="s">
        <v>55</v>
      </c>
      <c r="D6" s="52" t="s">
        <v>56</v>
      </c>
      <c r="E6" s="50" t="s">
        <v>57</v>
      </c>
      <c r="F6" s="31" t="s">
        <v>58</v>
      </c>
      <c r="G6" s="52" t="s">
        <v>59</v>
      </c>
      <c r="H6" s="55" t="s">
        <v>36</v>
      </c>
      <c r="I6" s="41" t="s">
        <v>47</v>
      </c>
      <c r="J6" s="41" t="s">
        <v>48</v>
      </c>
      <c r="K6" s="41" t="s">
        <v>49</v>
      </c>
      <c r="L6" s="57" t="s">
        <v>60</v>
      </c>
      <c r="M6" s="57" t="s">
        <v>61</v>
      </c>
    </row>
    <row r="7" spans="1:13" ht="13.5" thickTop="1">
      <c r="A7" s="3">
        <v>0</v>
      </c>
      <c r="B7" s="59">
        <v>0</v>
      </c>
      <c r="C7" s="59">
        <v>0</v>
      </c>
      <c r="D7" s="53">
        <f>H17</f>
        <v>2.4</v>
      </c>
      <c r="E7" s="51">
        <f aca="true" t="shared" si="0" ref="E7:E12">$B$3*B7</f>
        <v>0</v>
      </c>
      <c r="F7" s="47">
        <v>0</v>
      </c>
      <c r="G7" s="44">
        <f>$B$4*$D7/2</f>
        <v>2400</v>
      </c>
      <c r="H7" s="56">
        <f aca="true" t="shared" si="1" ref="H7:H12">$E7+$F7+$G7</f>
        <v>2400</v>
      </c>
      <c r="I7" s="11">
        <v>0</v>
      </c>
      <c r="J7" s="67">
        <v>0.1</v>
      </c>
      <c r="K7" s="3">
        <f>J7</f>
        <v>0.1</v>
      </c>
      <c r="L7" s="3">
        <f>$I7*$J7</f>
        <v>0</v>
      </c>
      <c r="M7" s="3" t="s">
        <v>50</v>
      </c>
    </row>
    <row r="8" spans="1:13" ht="12.75">
      <c r="A8" s="3">
        <f>A7+1</f>
        <v>1</v>
      </c>
      <c r="B8" s="56">
        <f>$A8*$K8-$L8/2</f>
        <v>0.20000000000000004</v>
      </c>
      <c r="C8" s="60">
        <f>$M8</f>
        <v>0.245</v>
      </c>
      <c r="D8" s="53">
        <f>H18</f>
        <v>1.045</v>
      </c>
      <c r="E8" s="51">
        <f t="shared" si="0"/>
        <v>20.000000000000004</v>
      </c>
      <c r="F8" s="8">
        <f>$B$3*$A8^2*$C8/2</f>
        <v>12.25</v>
      </c>
      <c r="G8" s="44">
        <f>$B$4*$D8/2</f>
        <v>1045</v>
      </c>
      <c r="H8" s="56">
        <f t="shared" si="1"/>
        <v>1077.25</v>
      </c>
      <c r="I8" s="11">
        <f aca="true" t="shared" si="2" ref="I8:I13">I7+1</f>
        <v>1</v>
      </c>
      <c r="J8" s="67">
        <v>0.2</v>
      </c>
      <c r="K8" s="3">
        <f aca="true" t="shared" si="3" ref="K8:K13">K7+J8</f>
        <v>0.30000000000000004</v>
      </c>
      <c r="L8" s="9">
        <f aca="true" t="shared" si="4" ref="L8:L13">$L7+$I8*$J8</f>
        <v>0.2</v>
      </c>
      <c r="M8" s="9">
        <f>$M9+$J9/$I9</f>
        <v>0.245</v>
      </c>
    </row>
    <row r="9" spans="1:13" ht="12.75">
      <c r="A9" s="3">
        <f aca="true" t="shared" si="5" ref="A9:A22">A8+1</f>
        <v>2</v>
      </c>
      <c r="B9" s="56">
        <f>$A9*$K9-$L9/2</f>
        <v>0.7</v>
      </c>
      <c r="C9" s="60">
        <f>$M9</f>
        <v>0.145</v>
      </c>
      <c r="D9" s="53">
        <f>H19</f>
        <v>0.38</v>
      </c>
      <c r="E9" s="51">
        <f t="shared" si="0"/>
        <v>70</v>
      </c>
      <c r="F9" s="8">
        <f>$B$3*$A9^2*$C9/2</f>
        <v>28.999999999999996</v>
      </c>
      <c r="G9" s="44">
        <f>$B$4*$D9/2</f>
        <v>380</v>
      </c>
      <c r="H9" s="56">
        <f t="shared" si="1"/>
        <v>479</v>
      </c>
      <c r="I9" s="11">
        <f t="shared" si="2"/>
        <v>2</v>
      </c>
      <c r="J9" s="67">
        <v>0.2</v>
      </c>
      <c r="K9" s="3">
        <f t="shared" si="3"/>
        <v>0.5</v>
      </c>
      <c r="L9" s="9">
        <f t="shared" si="4"/>
        <v>0.6000000000000001</v>
      </c>
      <c r="M9" s="9">
        <f>$M10+$J10/$I10</f>
        <v>0.145</v>
      </c>
    </row>
    <row r="10" spans="1:13" ht="12.75">
      <c r="A10" s="3">
        <f t="shared" si="5"/>
        <v>3</v>
      </c>
      <c r="B10" s="56">
        <f>$A10*$K10-$L10/2</f>
        <v>1.6500000000000004</v>
      </c>
      <c r="C10" s="60">
        <f>$M10</f>
        <v>0.045</v>
      </c>
      <c r="D10" s="53">
        <f>H20</f>
        <v>0.10500000000000001</v>
      </c>
      <c r="E10" s="51">
        <f t="shared" si="0"/>
        <v>165.00000000000003</v>
      </c>
      <c r="F10" s="8">
        <f>$B$3*$A10^2*$C10/2</f>
        <v>20.25</v>
      </c>
      <c r="G10" s="44">
        <f>$B$4*$D10/2</f>
        <v>105.00000000000001</v>
      </c>
      <c r="H10" s="56">
        <f t="shared" si="1"/>
        <v>290.25000000000006</v>
      </c>
      <c r="I10" s="11">
        <f t="shared" si="2"/>
        <v>3</v>
      </c>
      <c r="J10" s="67">
        <v>0.3</v>
      </c>
      <c r="K10" s="3">
        <f t="shared" si="3"/>
        <v>0.8</v>
      </c>
      <c r="L10" s="9">
        <f t="shared" si="4"/>
        <v>1.5</v>
      </c>
      <c r="M10" s="9">
        <f>$M11+$J11/$I11</f>
        <v>0.045</v>
      </c>
    </row>
    <row r="11" spans="1:13" ht="12.75">
      <c r="A11" s="3">
        <f t="shared" si="5"/>
        <v>4</v>
      </c>
      <c r="B11" s="56">
        <f>$A11*$K11-$L11/2</f>
        <v>2.6500000000000004</v>
      </c>
      <c r="C11" s="60">
        <f>$M11</f>
        <v>0.02</v>
      </c>
      <c r="D11" s="53">
        <f>H21</f>
        <v>0.02</v>
      </c>
      <c r="E11" s="51">
        <f t="shared" si="0"/>
        <v>265.00000000000006</v>
      </c>
      <c r="F11" s="8">
        <f>$B$3*$A11^2*$C11/2</f>
        <v>16</v>
      </c>
      <c r="G11" s="44">
        <f>$B$4*$D11/2</f>
        <v>20</v>
      </c>
      <c r="H11" s="56">
        <f t="shared" si="1"/>
        <v>301.00000000000006</v>
      </c>
      <c r="I11" s="11">
        <f t="shared" si="2"/>
        <v>4</v>
      </c>
      <c r="J11" s="67">
        <v>0.1</v>
      </c>
      <c r="K11" s="3">
        <f t="shared" si="3"/>
        <v>0.9</v>
      </c>
      <c r="L11" s="9">
        <f t="shared" si="4"/>
        <v>1.9</v>
      </c>
      <c r="M11" s="9">
        <f>$M12+$J12/$I12</f>
        <v>0.02</v>
      </c>
    </row>
    <row r="12" spans="1:13" ht="12.75">
      <c r="A12" s="3">
        <f t="shared" si="5"/>
        <v>5</v>
      </c>
      <c r="B12" s="56">
        <f>$A12*$K12-$L12/2</f>
        <v>3.8</v>
      </c>
      <c r="C12" s="61">
        <v>0</v>
      </c>
      <c r="D12" s="54">
        <v>0</v>
      </c>
      <c r="E12" s="51">
        <f t="shared" si="0"/>
        <v>380</v>
      </c>
      <c r="F12" s="49">
        <v>0</v>
      </c>
      <c r="G12" s="54">
        <v>0</v>
      </c>
      <c r="H12" s="56">
        <f t="shared" si="1"/>
        <v>380</v>
      </c>
      <c r="I12" s="11">
        <f t="shared" si="2"/>
        <v>5</v>
      </c>
      <c r="J12" s="67">
        <v>0.1</v>
      </c>
      <c r="K12" s="3">
        <f t="shared" si="3"/>
        <v>1</v>
      </c>
      <c r="L12" s="9">
        <f t="shared" si="4"/>
        <v>2.4</v>
      </c>
      <c r="M12" s="8">
        <f>$J13/$I13</f>
        <v>0</v>
      </c>
    </row>
    <row r="13" spans="1:13" ht="12.75">
      <c r="A13" s="46">
        <f t="shared" si="5"/>
        <v>6</v>
      </c>
      <c r="B13" s="56">
        <f>$A13*$K13-$L13/2</f>
        <v>4.8</v>
      </c>
      <c r="C13" s="58"/>
      <c r="D13" s="58"/>
      <c r="E13" s="51">
        <f>$B$3*B13</f>
        <v>480</v>
      </c>
      <c r="F13" s="49">
        <v>0</v>
      </c>
      <c r="G13" s="54">
        <v>0</v>
      </c>
      <c r="H13" s="84">
        <f>$E13+$F13+$G13</f>
        <v>480</v>
      </c>
      <c r="I13" s="11">
        <f t="shared" si="2"/>
        <v>6</v>
      </c>
      <c r="J13" s="11">
        <v>0</v>
      </c>
      <c r="K13" s="3">
        <f t="shared" si="3"/>
        <v>1</v>
      </c>
      <c r="L13" s="9">
        <f t="shared" si="4"/>
        <v>2.4</v>
      </c>
      <c r="M13" s="58"/>
    </row>
    <row r="14" spans="11:13" ht="12.75">
      <c r="K14" s="3"/>
      <c r="L14" s="58"/>
      <c r="M14" s="58"/>
    </row>
    <row r="15" spans="1:7" ht="12.75">
      <c r="A15" s="45" t="s">
        <v>48</v>
      </c>
      <c r="B15" s="46">
        <f>J8</f>
        <v>0.2</v>
      </c>
      <c r="C15" s="46">
        <f>J9</f>
        <v>0.2</v>
      </c>
      <c r="D15" s="46">
        <f>J10</f>
        <v>0.3</v>
      </c>
      <c r="E15" s="46">
        <f>J11</f>
        <v>0.1</v>
      </c>
      <c r="F15" s="46">
        <f>J12</f>
        <v>0.1</v>
      </c>
      <c r="G15" s="46">
        <f>J13</f>
        <v>0</v>
      </c>
    </row>
    <row r="16" spans="1:10" ht="15" thickBot="1">
      <c r="A16" s="43" t="s">
        <v>53</v>
      </c>
      <c r="B16" s="42">
        <v>1</v>
      </c>
      <c r="C16" s="42">
        <f>B16+1</f>
        <v>2</v>
      </c>
      <c r="D16" s="42">
        <f>C16+1</f>
        <v>3</v>
      </c>
      <c r="E16" s="42">
        <f>D16+1</f>
        <v>4</v>
      </c>
      <c r="F16" s="42">
        <f>E16+1</f>
        <v>5</v>
      </c>
      <c r="G16" s="62">
        <f>F16+1</f>
        <v>6</v>
      </c>
      <c r="H16" s="31" t="s">
        <v>56</v>
      </c>
      <c r="J16" s="66" t="s">
        <v>64</v>
      </c>
    </row>
    <row r="17" spans="1:11" ht="13.5" thickTop="1">
      <c r="A17" s="44">
        <v>0</v>
      </c>
      <c r="B17" s="9">
        <f>(B$16-$A17)^2*B$15/B$16</f>
        <v>0.2</v>
      </c>
      <c r="C17" s="9">
        <f>(C$16-$A17)^2*C$15/C$16</f>
        <v>0.4</v>
      </c>
      <c r="D17" s="9">
        <f>(D16-$A17)^2*D$15/D$16</f>
        <v>0.8999999999999999</v>
      </c>
      <c r="E17" s="9">
        <f>(E16-$A17)^2*E$15/E$16</f>
        <v>0.4</v>
      </c>
      <c r="F17" s="65">
        <f>(F16-$A17)^2*F$15/F$16</f>
        <v>0.5</v>
      </c>
      <c r="G17" s="63">
        <f>(G16-$A17)^2*G$15/G$16</f>
        <v>0</v>
      </c>
      <c r="H17" s="48">
        <f aca="true" t="shared" si="6" ref="H17:H22">SUM(B17:F17)</f>
        <v>2.4</v>
      </c>
      <c r="K17" s="66" t="s">
        <v>63</v>
      </c>
    </row>
    <row r="18" spans="1:11" ht="12.75">
      <c r="A18" s="44">
        <f>A17+1</f>
        <v>1</v>
      </c>
      <c r="B18" s="3"/>
      <c r="C18" s="9">
        <f>(C$16-$A18)^2*C$15/C$16</f>
        <v>0.1</v>
      </c>
      <c r="D18" s="9">
        <f>(D$16-$A18)^2*D$15/D$16</f>
        <v>0.39999999999999997</v>
      </c>
      <c r="E18" s="9">
        <f>(E$16-$A18)^2*E$15/E$16</f>
        <v>0.225</v>
      </c>
      <c r="F18" s="65">
        <f>(F$16-$A18)^2*F$15/F$16</f>
        <v>0.32</v>
      </c>
      <c r="G18" s="63">
        <f>(G$16-$A18)^2*G$15/G$16</f>
        <v>0</v>
      </c>
      <c r="H18" s="48">
        <f t="shared" si="6"/>
        <v>1.045</v>
      </c>
      <c r="K18" s="66" t="s">
        <v>65</v>
      </c>
    </row>
    <row r="19" spans="1:10" ht="12.75">
      <c r="A19" s="44">
        <f t="shared" si="5"/>
        <v>2</v>
      </c>
      <c r="B19" s="3"/>
      <c r="C19" s="3"/>
      <c r="D19" s="9">
        <f>(D$16-$A19)^2*D$15/D$16</f>
        <v>0.09999999999999999</v>
      </c>
      <c r="E19" s="9">
        <f>(E$16-$A19)^2*E$15/E$16</f>
        <v>0.1</v>
      </c>
      <c r="F19" s="65">
        <f>(F$16-$A19)^2*F$15/F$16</f>
        <v>0.18</v>
      </c>
      <c r="G19" s="63">
        <f>(G$16-$A19)^2*G$15/G$16</f>
        <v>0</v>
      </c>
      <c r="H19" s="48">
        <f t="shared" si="6"/>
        <v>0.38</v>
      </c>
      <c r="J19" s="66" t="s">
        <v>67</v>
      </c>
    </row>
    <row r="20" spans="1:10" ht="12.75">
      <c r="A20" s="44">
        <f t="shared" si="5"/>
        <v>3</v>
      </c>
      <c r="D20" s="3"/>
      <c r="E20" s="9">
        <f>(E$16-$A20)^2*E$15/E$16</f>
        <v>0.025</v>
      </c>
      <c r="F20" s="65">
        <f>(F$16-$A20)^2*F$15/F$16</f>
        <v>0.08</v>
      </c>
      <c r="G20" s="63">
        <f>(G$16-$A20)^2*G$15/G$16</f>
        <v>0</v>
      </c>
      <c r="H20" s="48">
        <f t="shared" si="6"/>
        <v>0.10500000000000001</v>
      </c>
      <c r="J20" s="66" t="s">
        <v>68</v>
      </c>
    </row>
    <row r="21" spans="1:8" ht="12.75">
      <c r="A21" s="44">
        <f t="shared" si="5"/>
        <v>4</v>
      </c>
      <c r="E21" s="3"/>
      <c r="F21" s="65">
        <f>(F$16-$A21)^2*F$15/F$16</f>
        <v>0.02</v>
      </c>
      <c r="G21" s="63">
        <f>(G$16-$A21)^2*G$15/G$16</f>
        <v>0</v>
      </c>
      <c r="H21" s="48">
        <f t="shared" si="6"/>
        <v>0.02</v>
      </c>
    </row>
    <row r="22" spans="1:8" ht="12.75">
      <c r="A22" s="44">
        <f t="shared" si="5"/>
        <v>5</v>
      </c>
      <c r="F22" s="65"/>
      <c r="G22" s="63">
        <f>(G$16-$A22)^2*G$15/G$16</f>
        <v>0</v>
      </c>
      <c r="H22" s="48">
        <f t="shared" si="6"/>
        <v>0</v>
      </c>
    </row>
    <row r="23" spans="1:1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/>
  <printOptions/>
  <pageMargins left="0.5" right="0.5" top="1" bottom="1" header="0.5" footer="0.5"/>
  <pageSetup horizontalDpi="600" verticalDpi="600" orientation="portrait" paperSize="9" r:id="rId5"/>
  <legacyDrawing r:id="rId4"/>
  <oleObjects>
    <oleObject progId="Equation.3" shapeId="1173321" r:id="rId1"/>
    <oleObject progId="Equation.3" shapeId="1177824" r:id="rId2"/>
    <oleObject progId="Equation.3" shapeId="118272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33203125" defaultRowHeight="12.75"/>
  <cols>
    <col min="1" max="4" width="9.5" style="0" bestFit="1" customWidth="1"/>
    <col min="5" max="5" width="10.16015625" style="0" bestFit="1" customWidth="1"/>
    <col min="7" max="7" width="18.5" style="0" bestFit="1" customWidth="1"/>
  </cols>
  <sheetData>
    <row r="1" spans="1:7" ht="13.5">
      <c r="A1" s="7" t="s">
        <v>84</v>
      </c>
      <c r="E1" s="25" t="s">
        <v>71</v>
      </c>
      <c r="F1" s="3">
        <f>1024*LOG10(2)</f>
        <v>308.25471555991675</v>
      </c>
      <c r="G1">
        <f>10^(-F1)</f>
        <v>0</v>
      </c>
    </row>
    <row r="2" spans="5:7" ht="13.5">
      <c r="E2" s="25" t="s">
        <v>72</v>
      </c>
      <c r="G2" s="69">
        <f>2^(-1022)</f>
        <v>2.2250738585072014E-308</v>
      </c>
    </row>
    <row r="3" spans="5:6" ht="12.75">
      <c r="E3" s="70" t="s">
        <v>73</v>
      </c>
      <c r="F3" s="3">
        <f>LN($G$2*SQRT(2*PI()))</f>
        <v>-707.4774799990595</v>
      </c>
    </row>
    <row r="4" spans="4:6" ht="12.75">
      <c r="D4" s="70" t="s">
        <v>79</v>
      </c>
      <c r="E4" s="47">
        <f>-$F$3</f>
        <v>707.4774799990595</v>
      </c>
      <c r="F4" s="3"/>
    </row>
    <row r="5" spans="4:7" ht="13.5" thickBot="1">
      <c r="D5" s="4" t="s">
        <v>74</v>
      </c>
      <c r="E5" s="11">
        <v>2.4</v>
      </c>
      <c r="F5" s="3">
        <f>LN($E$5)</f>
        <v>0.8754687373538999</v>
      </c>
      <c r="G5" s="72" t="s">
        <v>77</v>
      </c>
    </row>
    <row r="6" spans="4:5" ht="13.5" thickBot="1">
      <c r="D6" s="70" t="s">
        <v>78</v>
      </c>
      <c r="E6" s="73">
        <f>-$E$5-$F$3</f>
        <v>705.0774799990595</v>
      </c>
    </row>
    <row r="8" spans="1:7" ht="13.5" thickBot="1">
      <c r="A8" s="74" t="s">
        <v>35</v>
      </c>
      <c r="B8" s="75" t="s">
        <v>80</v>
      </c>
      <c r="C8" s="82" t="s">
        <v>75</v>
      </c>
      <c r="D8" s="83" t="s">
        <v>76</v>
      </c>
      <c r="E8" s="83" t="s">
        <v>70</v>
      </c>
      <c r="F8" s="75" t="s">
        <v>81</v>
      </c>
      <c r="G8" t="s">
        <v>97</v>
      </c>
    </row>
    <row r="9" spans="1:6" ht="13.5" thickTop="1">
      <c r="A9" s="3">
        <v>200</v>
      </c>
      <c r="B9" s="3">
        <f>LN($A9)</f>
        <v>5.298317366548036</v>
      </c>
      <c r="C9" s="3">
        <f>($A9+1/2)*$B9</f>
        <v>1062.3126319928813</v>
      </c>
      <c r="D9" s="3">
        <f>(1+$F$5)*$A9</f>
        <v>375.09374747078</v>
      </c>
      <c r="E9" s="3">
        <f>1/(12*$A9)</f>
        <v>0.0004166666666666667</v>
      </c>
      <c r="F9" s="3">
        <f aca="true" t="shared" si="0" ref="F9:F14">$C9-$D9-$E9</f>
        <v>687.2184678554346</v>
      </c>
    </row>
    <row r="10" spans="1:6" ht="12.75">
      <c r="A10" s="3">
        <f>$A9+1</f>
        <v>201</v>
      </c>
      <c r="B10" s="3">
        <f aca="true" t="shared" si="1" ref="B10:B19">LN($A10)</f>
        <v>5.303304908059076</v>
      </c>
      <c r="C10" s="3">
        <f>($A10+1/2)*$B10</f>
        <v>1068.6159389739037</v>
      </c>
      <c r="D10" s="3">
        <f aca="true" t="shared" si="2" ref="D10:D19">(1+$F$5)*$A10</f>
        <v>376.96921620813384</v>
      </c>
      <c r="E10" s="3">
        <f>1/(12*$A10)</f>
        <v>0.00041459369817578774</v>
      </c>
      <c r="F10" s="3">
        <f t="shared" si="0"/>
        <v>691.6463081720716</v>
      </c>
    </row>
    <row r="11" spans="1:6" ht="12.75">
      <c r="A11" s="3">
        <f>$A10+1</f>
        <v>202</v>
      </c>
      <c r="B11" s="3">
        <f t="shared" si="1"/>
        <v>5.308267697401205</v>
      </c>
      <c r="C11" s="3">
        <f aca="true" t="shared" si="3" ref="C11:C19">($A11+1/2)*$B11</f>
        <v>1074.924208723744</v>
      </c>
      <c r="D11" s="3">
        <f t="shared" si="2"/>
        <v>378.84468494548776</v>
      </c>
      <c r="E11" s="3">
        <f aca="true" t="shared" si="4" ref="E11:E19">1/(12*$A11)</f>
        <v>0.00041254125412541255</v>
      </c>
      <c r="F11" s="3">
        <f t="shared" si="0"/>
        <v>696.079111237002</v>
      </c>
    </row>
    <row r="12" spans="1:6" ht="12.75">
      <c r="A12" s="3">
        <f>$A11+1</f>
        <v>203</v>
      </c>
      <c r="B12" s="3">
        <f t="shared" si="1"/>
        <v>5.313205979041787</v>
      </c>
      <c r="C12" s="3">
        <f t="shared" si="3"/>
        <v>1081.2374167350038</v>
      </c>
      <c r="D12" s="3">
        <f t="shared" si="2"/>
        <v>380.72015368284167</v>
      </c>
      <c r="E12" s="3">
        <f t="shared" si="4"/>
        <v>0.00041050903119868636</v>
      </c>
      <c r="F12" s="3">
        <f t="shared" si="0"/>
        <v>700.5168525431309</v>
      </c>
    </row>
    <row r="13" spans="1:7" ht="12.75">
      <c r="A13" s="3">
        <f>$A12+1</f>
        <v>204</v>
      </c>
      <c r="B13" s="3">
        <f t="shared" si="1"/>
        <v>5.318119993844216</v>
      </c>
      <c r="C13" s="3">
        <f t="shared" si="3"/>
        <v>1087.5555387411423</v>
      </c>
      <c r="D13" s="3">
        <f t="shared" si="2"/>
        <v>382.5956224201956</v>
      </c>
      <c r="E13" s="3">
        <f t="shared" si="4"/>
        <v>0.0004084967320261438</v>
      </c>
      <c r="F13" s="3">
        <f t="shared" si="0"/>
        <v>704.9595078242147</v>
      </c>
      <c r="G13" t="s">
        <v>98</v>
      </c>
    </row>
    <row r="14" spans="1:6" ht="12.75">
      <c r="A14" s="3">
        <f>$A13+1</f>
        <v>205</v>
      </c>
      <c r="B14" s="3">
        <f t="shared" si="1"/>
        <v>5.3230099791384085</v>
      </c>
      <c r="C14" s="3">
        <f t="shared" si="3"/>
        <v>1093.878550712943</v>
      </c>
      <c r="D14" s="3">
        <f t="shared" si="2"/>
        <v>384.4710911575495</v>
      </c>
      <c r="E14" s="3">
        <f t="shared" si="4"/>
        <v>0.0004065040650406504</v>
      </c>
      <c r="F14" s="3">
        <f t="shared" si="0"/>
        <v>709.4070530513285</v>
      </c>
    </row>
    <row r="15" spans="1:6" ht="12.75">
      <c r="A15" s="3">
        <f>$A14+1</f>
        <v>206</v>
      </c>
      <c r="B15" s="3">
        <f t="shared" si="1"/>
        <v>5.327876168789581</v>
      </c>
      <c r="C15" s="3">
        <f t="shared" si="3"/>
        <v>1100.2064288550484</v>
      </c>
      <c r="D15" s="3">
        <f t="shared" si="2"/>
        <v>386.34655989490335</v>
      </c>
      <c r="E15" s="3">
        <f t="shared" si="4"/>
        <v>0.0004045307443365696</v>
      </c>
      <c r="F15" s="3">
        <f>$C15-$D15-$E15</f>
        <v>713.8594644294008</v>
      </c>
    </row>
    <row r="16" spans="1:6" ht="12.75">
      <c r="A16" s="3">
        <f>$A15+1</f>
        <v>207</v>
      </c>
      <c r="B16" s="3">
        <f t="shared" si="1"/>
        <v>5.332718793265369</v>
      </c>
      <c r="C16" s="3">
        <f t="shared" si="3"/>
        <v>1106.539149602564</v>
      </c>
      <c r="D16" s="3">
        <f t="shared" si="2"/>
        <v>388.22202863225726</v>
      </c>
      <c r="E16" s="3">
        <f t="shared" si="4"/>
        <v>0.00040257648953301127</v>
      </c>
      <c r="F16" s="3">
        <f>$C16-$D16-$E16</f>
        <v>718.3167183938174</v>
      </c>
    </row>
    <row r="17" spans="1:6" ht="12.75">
      <c r="A17" s="3">
        <f>$A16+1</f>
        <v>208</v>
      </c>
      <c r="B17" s="3">
        <f t="shared" si="1"/>
        <v>5.337538079701318</v>
      </c>
      <c r="C17" s="3">
        <f t="shared" si="3"/>
        <v>1112.8766896177249</v>
      </c>
      <c r="D17" s="3">
        <f t="shared" si="2"/>
        <v>390.0974973696112</v>
      </c>
      <c r="E17" s="3">
        <f t="shared" si="4"/>
        <v>0.00040064102564102563</v>
      </c>
      <c r="F17" s="3">
        <f>$C17-$D17-$E17</f>
        <v>722.7787916070881</v>
      </c>
    </row>
    <row r="18" spans="1:6" ht="12.75">
      <c r="A18" s="3">
        <f>$A17+1</f>
        <v>209</v>
      </c>
      <c r="B18" s="3">
        <f t="shared" si="1"/>
        <v>5.342334251964811</v>
      </c>
      <c r="C18" s="3">
        <f t="shared" si="3"/>
        <v>1119.219025786628</v>
      </c>
      <c r="D18" s="3">
        <f t="shared" si="2"/>
        <v>391.9729661069651</v>
      </c>
      <c r="E18" s="3">
        <f t="shared" si="4"/>
        <v>0.00039872408293460925</v>
      </c>
      <c r="F18" s="3">
        <f>$C18-$D18-$E18</f>
        <v>727.24566095558</v>
      </c>
    </row>
    <row r="19" spans="1:6" ht="12.75">
      <c r="A19" s="3">
        <f>$A18+1</f>
        <v>210</v>
      </c>
      <c r="B19" s="3">
        <f t="shared" si="1"/>
        <v>5.3471075307174685</v>
      </c>
      <c r="C19" s="3">
        <f t="shared" si="3"/>
        <v>1125.566135216027</v>
      </c>
      <c r="D19" s="3">
        <f t="shared" si="2"/>
        <v>393.84843484431894</v>
      </c>
      <c r="E19" s="3">
        <f t="shared" si="4"/>
        <v>0.0003968253968253968</v>
      </c>
      <c r="F19" s="3">
        <f>$C19-$D19-$E19</f>
        <v>731.7173035463113</v>
      </c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conditionalFormatting sqref="F9:F19">
    <cfRule type="cellIs" priority="1" dxfId="0" operator="lessThan" stopIfTrue="1">
      <formula>$E$6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84</v>
      </c>
      <c r="C1" s="1" t="s">
        <v>90</v>
      </c>
    </row>
    <row r="2" spans="1:3" ht="13.5">
      <c r="A2" s="7"/>
      <c r="C2" s="1"/>
    </row>
    <row r="3" spans="3:4" ht="12.75">
      <c r="C3" s="4" t="s">
        <v>74</v>
      </c>
      <c r="D3" s="71">
        <f>'calc2.9'!J4</f>
        <v>2.4</v>
      </c>
    </row>
    <row r="4" spans="1:4" ht="12.75">
      <c r="A4" s="4" t="s">
        <v>96</v>
      </c>
      <c r="B4" s="3">
        <f>'calc2.9'!K4</f>
        <v>1.42828568570857</v>
      </c>
      <c r="C4" s="4" t="s">
        <v>96</v>
      </c>
      <c r="D4" s="3">
        <f>SQRT($D$3)</f>
        <v>1.5491933384829668</v>
      </c>
    </row>
    <row r="5" spans="3:4" ht="12.75">
      <c r="C5" s="70" t="s">
        <v>94</v>
      </c>
      <c r="D5" s="3">
        <f>EXP(-$D$3)</f>
        <v>0.09071795328941251</v>
      </c>
    </row>
    <row r="6" spans="1:4" ht="12.75">
      <c r="A6" s="25" t="s">
        <v>93</v>
      </c>
      <c r="B6" s="80">
        <f>SUM(B8:B16)</f>
        <v>1</v>
      </c>
      <c r="D6" s="81">
        <f>SUM(D8:D23)</f>
        <v>0.9999984630633125</v>
      </c>
    </row>
    <row r="7" spans="1:4" ht="15" thickBot="1">
      <c r="A7" s="74" t="s">
        <v>47</v>
      </c>
      <c r="B7" s="75" t="s">
        <v>91</v>
      </c>
      <c r="C7" s="77" t="s">
        <v>95</v>
      </c>
      <c r="D7" s="75" t="s">
        <v>92</v>
      </c>
    </row>
    <row r="8" spans="1:4" ht="13.5" thickTop="1">
      <c r="A8" s="3">
        <v>0</v>
      </c>
      <c r="B8" s="79">
        <f>'calc2.9'!J7</f>
        <v>0.1</v>
      </c>
      <c r="C8" s="71">
        <v>1</v>
      </c>
      <c r="D8" s="3">
        <f>$C8*$D$5</f>
        <v>0.09071795328941251</v>
      </c>
    </row>
    <row r="9" spans="1:4" ht="12.75">
      <c r="A9" s="3">
        <f>$A8+1</f>
        <v>1</v>
      </c>
      <c r="B9" s="79">
        <f>'calc2.9'!J8</f>
        <v>0.2</v>
      </c>
      <c r="C9" s="3">
        <f>$C8*$D$3/$A9</f>
        <v>2.4</v>
      </c>
      <c r="D9" s="3">
        <f>$C9*$D$5</f>
        <v>0.21772308789459002</v>
      </c>
    </row>
    <row r="10" spans="1:4" ht="12.75">
      <c r="A10" s="3">
        <f aca="true" t="shared" si="0" ref="A10:A20">$A9+1</f>
        <v>2</v>
      </c>
      <c r="B10" s="79">
        <f>'calc2.9'!J9</f>
        <v>0.2</v>
      </c>
      <c r="C10" s="3">
        <f aca="true" t="shared" si="1" ref="C10:C20">$C9*$D$3/$A10</f>
        <v>2.88</v>
      </c>
      <c r="D10" s="3">
        <f aca="true" t="shared" si="2" ref="D10:D20">$C10*$D$5</f>
        <v>0.261267705473508</v>
      </c>
    </row>
    <row r="11" spans="1:4" ht="12.75">
      <c r="A11" s="3">
        <f t="shared" si="0"/>
        <v>3</v>
      </c>
      <c r="B11" s="79">
        <f>'calc2.9'!J10</f>
        <v>0.3</v>
      </c>
      <c r="C11" s="3">
        <f t="shared" si="1"/>
        <v>2.304</v>
      </c>
      <c r="D11" s="3">
        <f t="shared" si="2"/>
        <v>0.2090141643788064</v>
      </c>
    </row>
    <row r="12" spans="1:4" ht="12.75">
      <c r="A12" s="3">
        <f t="shared" si="0"/>
        <v>4</v>
      </c>
      <c r="B12" s="79">
        <f>'calc2.9'!J11</f>
        <v>0.1</v>
      </c>
      <c r="C12" s="3">
        <f t="shared" si="1"/>
        <v>1.3823999999999999</v>
      </c>
      <c r="D12" s="3">
        <f t="shared" si="2"/>
        <v>0.12540849862728384</v>
      </c>
    </row>
    <row r="13" spans="1:5" ht="15" thickBot="1">
      <c r="A13" s="3">
        <f t="shared" si="0"/>
        <v>5</v>
      </c>
      <c r="B13" s="79">
        <f>'calc2.9'!J12</f>
        <v>0.1</v>
      </c>
      <c r="C13" s="3">
        <f t="shared" si="1"/>
        <v>0.6635519999999999</v>
      </c>
      <c r="D13" s="3">
        <f t="shared" si="2"/>
        <v>0.06019607934109624</v>
      </c>
      <c r="E13" s="77" t="s">
        <v>95</v>
      </c>
    </row>
    <row r="14" spans="1:5" ht="14.25" thickTop="1">
      <c r="A14" s="3">
        <f t="shared" si="0"/>
        <v>6</v>
      </c>
      <c r="B14" s="3"/>
      <c r="C14" s="3">
        <f t="shared" si="1"/>
        <v>0.26542079999999996</v>
      </c>
      <c r="D14" s="3">
        <f t="shared" si="2"/>
        <v>0.024078431736438498</v>
      </c>
      <c r="E14" s="78">
        <f>$D$3^A14/FACT(A14)</f>
        <v>0.26542079999999996</v>
      </c>
    </row>
    <row r="15" spans="1:5" ht="13.5">
      <c r="A15" s="3">
        <f t="shared" si="0"/>
        <v>7</v>
      </c>
      <c r="B15" s="3"/>
      <c r="C15" s="3">
        <f t="shared" si="1"/>
        <v>0.09100141714285713</v>
      </c>
      <c r="D15" s="3">
        <f t="shared" si="2"/>
        <v>0.008255462309636056</v>
      </c>
      <c r="E15" s="78">
        <f>$D$3^A15/FACT(A15)</f>
        <v>0.09100141714285713</v>
      </c>
    </row>
    <row r="16" spans="1:5" ht="13.5">
      <c r="A16" s="3">
        <f t="shared" si="0"/>
        <v>8</v>
      </c>
      <c r="B16" s="3"/>
      <c r="C16" s="3">
        <f t="shared" si="1"/>
        <v>0.02730042514285714</v>
      </c>
      <c r="D16" s="3">
        <f t="shared" si="2"/>
        <v>0.002476638692890817</v>
      </c>
      <c r="E16" s="78">
        <f>$D$3^A16/FACT(A16)</f>
        <v>0.02730042514285714</v>
      </c>
    </row>
    <row r="17" spans="1:5" ht="13.5">
      <c r="A17" s="3">
        <f t="shared" si="0"/>
        <v>9</v>
      </c>
      <c r="B17" s="3"/>
      <c r="C17" s="3">
        <f t="shared" si="1"/>
        <v>0.00728011337142857</v>
      </c>
      <c r="D17" s="3">
        <f t="shared" si="2"/>
        <v>0.0006604369847708844</v>
      </c>
      <c r="E17" s="78">
        <f>$D$3^A17/FACT(A17)</f>
        <v>0.007280113371428571</v>
      </c>
    </row>
    <row r="18" spans="1:5" ht="13.5">
      <c r="A18" s="3">
        <f t="shared" si="0"/>
        <v>10</v>
      </c>
      <c r="B18" s="3"/>
      <c r="C18" s="3">
        <f t="shared" si="1"/>
        <v>0.0017472272091428567</v>
      </c>
      <c r="D18" s="3">
        <f t="shared" si="2"/>
        <v>0.00015850487634501228</v>
      </c>
      <c r="E18" s="78">
        <f>$D$3^A18/FACT(A18)</f>
        <v>0.001747227209142857</v>
      </c>
    </row>
    <row r="19" spans="1:4" ht="12.75">
      <c r="A19" s="3">
        <f t="shared" si="0"/>
        <v>11</v>
      </c>
      <c r="B19" s="3"/>
      <c r="C19" s="3">
        <f t="shared" si="1"/>
        <v>0.0003812132092675324</v>
      </c>
      <c r="D19" s="3">
        <f t="shared" si="2"/>
        <v>3.458288211163904E-05</v>
      </c>
    </row>
    <row r="20" spans="1:4" ht="12.75">
      <c r="A20" s="3">
        <f t="shared" si="0"/>
        <v>12</v>
      </c>
      <c r="B20" s="3"/>
      <c r="C20" s="3">
        <f t="shared" si="1"/>
        <v>7.624264185350647E-05</v>
      </c>
      <c r="D20" s="3">
        <f t="shared" si="2"/>
        <v>6.916576422327807E-06</v>
      </c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33203125" defaultRowHeight="12.75"/>
  <cols>
    <col min="1" max="2" width="9.5" style="0" bestFit="1" customWidth="1"/>
    <col min="4" max="4" width="9.83203125" style="0" bestFit="1" customWidth="1"/>
    <col min="5" max="5" width="9.5" style="0" bestFit="1" customWidth="1"/>
  </cols>
  <sheetData>
    <row r="1" ht="13.5">
      <c r="A1" s="7" t="s">
        <v>84</v>
      </c>
    </row>
    <row r="2" ht="15.75">
      <c r="A2" s="1" t="s">
        <v>85</v>
      </c>
    </row>
    <row r="3" spans="1:2" ht="12.75">
      <c r="A3" s="85" t="s">
        <v>99</v>
      </c>
      <c r="B3" s="86" t="s">
        <v>100</v>
      </c>
    </row>
    <row r="4" ht="15.75">
      <c r="A4" s="1" t="s">
        <v>87</v>
      </c>
    </row>
    <row r="5" ht="12.75">
      <c r="A5" s="1" t="s">
        <v>89</v>
      </c>
    </row>
    <row r="6" ht="12.75">
      <c r="A6" s="1"/>
    </row>
    <row r="7" spans="1:4" ht="12.75">
      <c r="A7" s="66" t="s">
        <v>86</v>
      </c>
      <c r="D7" s="66" t="s">
        <v>88</v>
      </c>
    </row>
    <row r="8" spans="1:5" ht="15" thickBot="1">
      <c r="A8" s="74" t="s">
        <v>83</v>
      </c>
      <c r="B8" s="75" t="s">
        <v>82</v>
      </c>
      <c r="D8" s="74" t="s">
        <v>83</v>
      </c>
      <c r="E8" s="75" t="s">
        <v>82</v>
      </c>
    </row>
    <row r="9" spans="1:5" ht="13.5" thickTop="1">
      <c r="A9" s="3">
        <v>0.4</v>
      </c>
      <c r="B9" s="3">
        <v>0</v>
      </c>
      <c r="D9" s="3">
        <v>0.34</v>
      </c>
      <c r="E9" s="3">
        <v>0</v>
      </c>
    </row>
    <row r="10" spans="1:5" ht="12.75">
      <c r="A10" s="3">
        <v>1</v>
      </c>
      <c r="B10" s="3">
        <v>1</v>
      </c>
      <c r="D10" s="3">
        <v>1.8</v>
      </c>
      <c r="E10" s="3">
        <v>1</v>
      </c>
    </row>
    <row r="11" spans="1:5" ht="12.75">
      <c r="A11" s="3">
        <v>2.1</v>
      </c>
      <c r="B11" s="3">
        <v>2</v>
      </c>
      <c r="D11" s="3">
        <v>5.8</v>
      </c>
      <c r="E11" s="3">
        <v>2</v>
      </c>
    </row>
    <row r="12" spans="1:5" ht="12.75">
      <c r="A12" s="3">
        <v>6.3</v>
      </c>
      <c r="B12" s="3">
        <v>3</v>
      </c>
      <c r="D12" s="3">
        <v>17</v>
      </c>
      <c r="E12" s="3">
        <v>3</v>
      </c>
    </row>
    <row r="13" spans="1:5" ht="12.75">
      <c r="A13" s="3">
        <v>23</v>
      </c>
      <c r="B13" s="3">
        <v>4</v>
      </c>
      <c r="D13" s="3">
        <v>54</v>
      </c>
      <c r="E13" s="3">
        <v>4</v>
      </c>
    </row>
    <row r="14" spans="1:5" ht="12.75">
      <c r="A14" s="3">
        <v>99.1</v>
      </c>
      <c r="B14" s="3">
        <v>5</v>
      </c>
      <c r="D14" s="3">
        <v>184</v>
      </c>
      <c r="E14" s="3">
        <v>5</v>
      </c>
    </row>
    <row r="15" spans="1:5" ht="12.75">
      <c r="A15" s="3"/>
      <c r="B15" s="3"/>
      <c r="D15" s="3">
        <v>692</v>
      </c>
      <c r="E15" s="3">
        <v>6</v>
      </c>
    </row>
    <row r="16" spans="1:5" ht="12.75">
      <c r="A16" s="3"/>
      <c r="B16" s="3"/>
      <c r="D16" s="3">
        <v>2851</v>
      </c>
      <c r="E16" s="3">
        <v>7</v>
      </c>
    </row>
    <row r="17" spans="1:5" ht="12.75">
      <c r="A17" s="3"/>
      <c r="B17" s="3"/>
      <c r="D17" s="76">
        <v>12000</v>
      </c>
      <c r="E17" s="3">
        <v>8</v>
      </c>
    </row>
    <row r="19" spans="1:1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</sheetData>
  <hyperlinks>
    <hyperlink ref="B3" r:id="rId1" display="http://web.ist.utl.pt/~mcasquilho/compute/or/Fx-inventoryRand.ph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2012-07-06T00:49:28Z</cp:lastPrinted>
  <dcterms:created xsi:type="dcterms:W3CDTF">2010-05-30T18:00:41Z</dcterms:created>
  <dcterms:modified xsi:type="dcterms:W3CDTF">2012-07-06T00:50:52Z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