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975" windowHeight="6540" activeTab="0"/>
  </bookViews>
  <sheets>
    <sheet name="data" sheetId="1" r:id="rId1"/>
    <sheet name="map" sheetId="2" r:id="rId2"/>
    <sheet name="new" sheetId="3" r:id="rId3"/>
  </sheets>
  <definedNames>
    <definedName name="solver_adj" localSheetId="0" hidden="1">'data'!$H$40:$I$40</definedName>
    <definedName name="solver_adj" localSheetId="2" hidden="1">'new'!$H$4:$I$4</definedName>
    <definedName name="solver_cvg" localSheetId="0" hidden="1">0.0001</definedName>
    <definedName name="solver_cvg" localSheetId="2" hidden="1">0.00000001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2</definedName>
    <definedName name="solver_num" localSheetId="0" hidden="1">0</definedName>
    <definedName name="solver_num" localSheetId="2" hidden="1">0</definedName>
    <definedName name="solver_nwt" localSheetId="0" hidden="1">1</definedName>
    <definedName name="solver_nwt" localSheetId="2" hidden="1">1</definedName>
    <definedName name="solver_opt" localSheetId="0" hidden="1">'data'!$H$42</definedName>
    <definedName name="solver_opt" localSheetId="2" hidden="1">'new'!$H$6</definedName>
    <definedName name="solver_pre" localSheetId="0" hidden="1">0.000001</definedName>
    <definedName name="solver_pre" localSheetId="2" hidden="1">0.00000001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0.000005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<sst xmlns="http://schemas.openxmlformats.org/spreadsheetml/2006/main" count="59" uniqueCount="39">
  <si>
    <t>Plant location</t>
  </si>
  <si>
    <t>Portalegre</t>
  </si>
  <si>
    <t>Santarém</t>
  </si>
  <si>
    <t>Tomar</t>
  </si>
  <si>
    <t>Évora</t>
  </si>
  <si>
    <t>Castelo Branco</t>
  </si>
  <si>
    <t>Cáceres</t>
  </si>
  <si>
    <t>Mérida</t>
  </si>
  <si>
    <t>Badajoz</t>
  </si>
  <si>
    <t>http://pt.wikipedia.org/wiki/Anexo:Lista_de_distritos_portugueses_ordenados_por_popula%C3%A7%C3%A3o</t>
  </si>
  <si>
    <t>X</t>
  </si>
  <si>
    <t>Y</t>
  </si>
  <si>
    <t>http://www.daftlogic.com/projects-google-maps-distance-calculator.htm</t>
  </si>
  <si>
    <t>inhabitants</t>
  </si>
  <si>
    <t>Average, stdev:</t>
  </si>
  <si>
    <t>Distances, calculated</t>
  </si>
  <si>
    <t>km</t>
  </si>
  <si>
    <t>Coords. from gif</t>
  </si>
  <si>
    <t>Distances from DaftLogic</t>
  </si>
  <si>
    <t>Lisboa</t>
  </si>
  <si>
    <t>for reference</t>
  </si>
  <si>
    <t>Conversion factor</t>
  </si>
  <si>
    <t>Coordinates and distances, km</t>
  </si>
  <si>
    <t>Weight</t>
  </si>
  <si>
    <t>Where is the depot ?</t>
  </si>
  <si>
    <t>Dist_to_dep</t>
  </si>
  <si>
    <t>Depot:</t>
  </si>
  <si>
    <t>Minimize</t>
  </si>
  <si>
    <t>Solver model</t>
  </si>
  <si>
    <t>gif:</t>
  </si>
  <si>
    <t>About halfway between Portalegre &amp; Badajoz</t>
  </si>
  <si>
    <t>kg</t>
  </si>
  <si>
    <t>$ / kg-km</t>
  </si>
  <si>
    <r>
      <t xml:space="preserve">Cost = 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w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d</t>
    </r>
    <r>
      <rPr>
        <i/>
        <vertAlign val="subscript"/>
        <sz val="10"/>
        <rFont val="Times New Roman"/>
        <family val="1"/>
      </rPr>
      <t>i</t>
    </r>
  </si>
  <si>
    <r>
      <t xml:space="preserve">Rate, </t>
    </r>
    <r>
      <rPr>
        <i/>
        <sz val="10"/>
        <rFont val="Arial Narrow"/>
        <family val="2"/>
      </rPr>
      <t>r</t>
    </r>
    <r>
      <rPr>
        <sz val="10"/>
        <rFont val="Arial Narrow"/>
        <family val="0"/>
      </rPr>
      <t xml:space="preserve"> =</t>
    </r>
  </si>
  <si>
    <t>fraction weight</t>
  </si>
  <si>
    <t>critical</t>
  </si>
  <si>
    <t>Increase the weight of Castelo Branco (or any other)</t>
  </si>
  <si>
    <t>195000, 400000, ...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</si>
</sst>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2">
    <font>
      <sz val="10"/>
      <name val="Arial Narrow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0"/>
    </font>
    <font>
      <u val="single"/>
      <sz val="10"/>
      <color indexed="12"/>
      <name val="Arial Narrow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36"/>
      <name val="Arial Narrow"/>
      <family val="0"/>
    </font>
    <font>
      <sz val="10"/>
      <name val="Times New Roman"/>
      <family val="1"/>
    </font>
    <font>
      <sz val="10"/>
      <name val="Symbol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2" borderId="0" xfId="20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11" fontId="2" fillId="2" borderId="1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5" fillId="0" borderId="0" xfId="0" applyFont="1" applyAlignment="1">
      <alignment horizontal="right"/>
    </xf>
    <xf numFmtId="0" fontId="0" fillId="6" borderId="0" xfId="0" applyFill="1" applyAlignment="1">
      <alignment/>
    </xf>
    <xf numFmtId="2" fontId="0" fillId="5" borderId="0" xfId="0" applyNumberFormat="1" applyFill="1" applyAlignment="1">
      <alignment/>
    </xf>
    <xf numFmtId="0" fontId="0" fillId="3" borderId="0" xfId="0" applyFill="1" applyAlignment="1">
      <alignment/>
    </xf>
    <xf numFmtId="11" fontId="0" fillId="4" borderId="0" xfId="0" applyNumberFormat="1" applyFill="1" applyAlignment="1">
      <alignment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2" fillId="5" borderId="11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6</xdr:col>
      <xdr:colOff>495300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36957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0</xdr:row>
      <xdr:rowOff>0</xdr:rowOff>
    </xdr:from>
    <xdr:to>
      <xdr:col>17</xdr:col>
      <xdr:colOff>0</xdr:colOff>
      <xdr:row>26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0"/>
          <a:ext cx="60674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t.wikipedia.org/wiki/Anexo:Lista_de_distritos_portugueses_ordenados_por_popula%C3%A7%C3%A3o" TargetMode="External" /><Relationship Id="rId2" Type="http://schemas.openxmlformats.org/officeDocument/2006/relationships/hyperlink" Target="http://www.daftlogic.com/projects-google-maps-distance-calculator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33203125" style="0" customWidth="1"/>
    <col min="3" max="3" width="10" style="0" bestFit="1" customWidth="1"/>
    <col min="4" max="4" width="9.83203125" style="0" bestFit="1" customWidth="1"/>
    <col min="5" max="8" width="9.66015625" style="0" bestFit="1" customWidth="1"/>
    <col min="9" max="9" width="10.5" style="0" bestFit="1" customWidth="1"/>
    <col min="10" max="10" width="9.66015625" style="0" bestFit="1" customWidth="1"/>
    <col min="11" max="11" width="10.33203125" style="0" bestFit="1" customWidth="1"/>
    <col min="12" max="12" width="9.66015625" style="0" bestFit="1" customWidth="1"/>
    <col min="13" max="13" width="11.33203125" style="0" bestFit="1" customWidth="1"/>
    <col min="14" max="14" width="9.83203125" style="0" bestFit="1" customWidth="1"/>
    <col min="15" max="15" width="9.66015625" style="0" bestFit="1" customWidth="1"/>
  </cols>
  <sheetData>
    <row r="1" spans="1:6" ht="13.5">
      <c r="A1" s="1">
        <v>41044</v>
      </c>
      <c r="C1" s="2" t="s">
        <v>0</v>
      </c>
      <c r="F1" s="4" t="s">
        <v>9</v>
      </c>
    </row>
    <row r="2" spans="1:6" ht="13.5">
      <c r="A2" s="1"/>
      <c r="C2" s="2"/>
      <c r="F2" s="4" t="s">
        <v>12</v>
      </c>
    </row>
    <row r="3" spans="12:14" ht="12.75">
      <c r="L3" s="3" t="s">
        <v>5</v>
      </c>
      <c r="M3">
        <v>195433</v>
      </c>
      <c r="N3" t="s">
        <v>13</v>
      </c>
    </row>
    <row r="4" spans="12:13" ht="12.75">
      <c r="L4" s="3" t="s">
        <v>4</v>
      </c>
      <c r="M4">
        <v>168034</v>
      </c>
    </row>
    <row r="5" spans="12:13" ht="12.75">
      <c r="L5" s="3" t="s">
        <v>1</v>
      </c>
      <c r="M5">
        <v>24930</v>
      </c>
    </row>
    <row r="6" spans="1:13" ht="12.75">
      <c r="A6" s="2" t="s">
        <v>18</v>
      </c>
      <c r="E6" s="5" t="str">
        <f>$L$3</f>
        <v>Castelo Branco</v>
      </c>
      <c r="F6" s="5" t="str">
        <f>$L$4</f>
        <v>Évora</v>
      </c>
      <c r="G6" s="5" t="str">
        <f>$L$5</f>
        <v>Portalegre</v>
      </c>
      <c r="H6" s="5" t="str">
        <f>$L$6</f>
        <v>Badajoz</v>
      </c>
      <c r="I6" s="5" t="str">
        <f>$L$7</f>
        <v>Cáceres</v>
      </c>
      <c r="J6" s="5" t="str">
        <f>$L$8</f>
        <v>Mérida</v>
      </c>
      <c r="L6" s="3" t="s">
        <v>8</v>
      </c>
      <c r="M6">
        <v>151565</v>
      </c>
    </row>
    <row r="7" spans="4:13" ht="12.75">
      <c r="D7" s="3" t="str">
        <f>$L$3</f>
        <v>Castelo Branco</v>
      </c>
      <c r="E7" s="6">
        <v>0</v>
      </c>
      <c r="F7" s="6">
        <v>143.9</v>
      </c>
      <c r="G7" s="6">
        <v>59.8</v>
      </c>
      <c r="H7" s="6">
        <v>113.6</v>
      </c>
      <c r="I7" s="6">
        <v>103.1</v>
      </c>
      <c r="J7" s="6">
        <v>141.1</v>
      </c>
      <c r="L7" s="3" t="s">
        <v>6</v>
      </c>
      <c r="M7">
        <v>95026</v>
      </c>
    </row>
    <row r="8" spans="4:13" ht="12.75">
      <c r="D8" s="3" t="str">
        <f>$L$4</f>
        <v>Évora</v>
      </c>
      <c r="E8" s="6"/>
      <c r="F8" s="6">
        <v>0</v>
      </c>
      <c r="G8" s="6">
        <v>88.9</v>
      </c>
      <c r="H8" s="6">
        <v>88.3</v>
      </c>
      <c r="I8" s="6">
        <v>166.7</v>
      </c>
      <c r="J8" s="6">
        <v>141.6</v>
      </c>
      <c r="L8" s="3" t="s">
        <v>7</v>
      </c>
      <c r="M8">
        <v>57797</v>
      </c>
    </row>
    <row r="9" spans="4:13" ht="12.75">
      <c r="D9" s="3" t="str">
        <f>$L$5</f>
        <v>Portalegre</v>
      </c>
      <c r="E9" s="6"/>
      <c r="F9" s="6"/>
      <c r="G9" s="6">
        <v>0</v>
      </c>
      <c r="H9" s="6">
        <v>61.6</v>
      </c>
      <c r="I9" s="6">
        <v>93.6</v>
      </c>
      <c r="J9" s="6">
        <v>102.4</v>
      </c>
      <c r="L9" s="16" t="s">
        <v>2</v>
      </c>
      <c r="M9" s="22">
        <v>32000</v>
      </c>
    </row>
    <row r="10" spans="4:13" ht="12.75">
      <c r="D10" s="3" t="str">
        <f>$L$6</f>
        <v>Badajoz</v>
      </c>
      <c r="E10" s="6"/>
      <c r="F10" s="6"/>
      <c r="G10" s="6"/>
      <c r="H10" s="6">
        <v>0</v>
      </c>
      <c r="I10" s="6">
        <v>85.2</v>
      </c>
      <c r="J10" s="6">
        <v>53.5</v>
      </c>
      <c r="L10" s="16" t="s">
        <v>3</v>
      </c>
      <c r="M10" s="22">
        <v>15764</v>
      </c>
    </row>
    <row r="11" spans="4:10" ht="12.75">
      <c r="D11" s="3" t="str">
        <f>$L$7</f>
        <v>Cáceres</v>
      </c>
      <c r="E11" s="6"/>
      <c r="F11" s="6"/>
      <c r="G11" s="6"/>
      <c r="H11" s="6"/>
      <c r="I11" s="6">
        <v>0</v>
      </c>
      <c r="J11" s="6">
        <v>62.3</v>
      </c>
    </row>
    <row r="12" spans="4:10" ht="12.75">
      <c r="D12" s="3" t="str">
        <f>$L$8</f>
        <v>Mérida</v>
      </c>
      <c r="E12" s="7"/>
      <c r="F12" s="7"/>
      <c r="G12" s="7"/>
      <c r="H12" s="7"/>
      <c r="I12" s="7"/>
      <c r="J12" s="7">
        <v>0</v>
      </c>
    </row>
    <row r="13" spans="1:10" ht="12.75">
      <c r="A13" s="2" t="s">
        <v>17</v>
      </c>
      <c r="C13" s="5" t="s">
        <v>10</v>
      </c>
      <c r="D13" s="5" t="s">
        <v>11</v>
      </c>
      <c r="E13" s="5" t="str">
        <f aca="true" t="shared" si="0" ref="E13:J13">E6</f>
        <v>Castelo Branco</v>
      </c>
      <c r="F13" s="5" t="str">
        <f t="shared" si="0"/>
        <v>Évora</v>
      </c>
      <c r="G13" s="5" t="str">
        <f t="shared" si="0"/>
        <v>Portalegre</v>
      </c>
      <c r="H13" s="5" t="str">
        <f t="shared" si="0"/>
        <v>Badajoz</v>
      </c>
      <c r="I13" s="5" t="str">
        <f t="shared" si="0"/>
        <v>Cáceres</v>
      </c>
      <c r="J13" s="5" t="str">
        <f t="shared" si="0"/>
        <v>Mérida</v>
      </c>
    </row>
    <row r="14" spans="2:15" ht="12.75">
      <c r="B14" s="3" t="str">
        <f aca="true" t="shared" si="1" ref="B14:B19">D7</f>
        <v>Castelo Branco</v>
      </c>
      <c r="C14" s="20">
        <v>176</v>
      </c>
      <c r="D14" s="20">
        <v>325</v>
      </c>
      <c r="E14" s="8">
        <v>0</v>
      </c>
      <c r="F14" s="8">
        <f>SQRT((C14-C15)^2+(D14-D15)^2)</f>
        <v>98.2344135219425</v>
      </c>
      <c r="G14" s="8">
        <f>SQRT((C14-C16)^2+(D14-D16)^2)</f>
        <v>39.319206502675</v>
      </c>
      <c r="H14" s="8">
        <f>SQRT((C14-C17)^2+(D14-D17)^2)</f>
        <v>78.39005038906404</v>
      </c>
      <c r="I14" s="8">
        <f>SQRT((C14-C18)^2+(D14-D18)^2)</f>
        <v>70.3846574190711</v>
      </c>
      <c r="J14" s="8">
        <f>SQRT((C14-C19)^2+(D14-D19)^2)</f>
        <v>95.46203433826454</v>
      </c>
      <c r="K14">
        <f>F7/F14</f>
        <v>1.4648634306536297</v>
      </c>
      <c r="L14">
        <f>G7/G14</f>
        <v>1.5208852191849707</v>
      </c>
      <c r="M14">
        <f>H7/H14</f>
        <v>1.4491635027172782</v>
      </c>
      <c r="N14">
        <f>I7/I14</f>
        <v>1.4648078683702521</v>
      </c>
      <c r="O14">
        <f>J7/J14</f>
        <v>1.478074513895438</v>
      </c>
    </row>
    <row r="15" spans="2:15" ht="12.75">
      <c r="B15" s="3" t="str">
        <f t="shared" si="1"/>
        <v>Évora</v>
      </c>
      <c r="C15" s="20">
        <v>151</v>
      </c>
      <c r="D15" s="20">
        <v>420</v>
      </c>
      <c r="E15" s="8"/>
      <c r="F15" s="8">
        <v>0</v>
      </c>
      <c r="G15" s="8">
        <f>SQRT((C15-C16)^2+(D15-D16)^2)</f>
        <v>63.52952069707436</v>
      </c>
      <c r="H15" s="8">
        <f>SQRT((C15-C17)^2+(D15-D17)^2)</f>
        <v>60.53924347066124</v>
      </c>
      <c r="I15" s="8">
        <f>SQRT((C15-C18)^2+(D15-D18)^2)</f>
        <v>112.8007092176286</v>
      </c>
      <c r="J15" s="8">
        <f>SQRT((C15-C19)^2+(D15-D19)^2)</f>
        <v>95.88013350011565</v>
      </c>
      <c r="L15">
        <f>G8/G15</f>
        <v>1.3993494524206918</v>
      </c>
      <c r="M15">
        <f>H8/H15</f>
        <v>1.4585580350503105</v>
      </c>
      <c r="N15">
        <f>I8/I15</f>
        <v>1.4778275877537477</v>
      </c>
      <c r="O15">
        <f>J8/J15</f>
        <v>1.476844001263611</v>
      </c>
    </row>
    <row r="16" spans="2:15" ht="12.75">
      <c r="B16" s="3" t="str">
        <f t="shared" si="1"/>
        <v>Portalegre</v>
      </c>
      <c r="C16" s="20">
        <v>181</v>
      </c>
      <c r="D16" s="20">
        <v>364</v>
      </c>
      <c r="E16" s="8"/>
      <c r="F16" s="8"/>
      <c r="G16" s="8">
        <v>0</v>
      </c>
      <c r="H16" s="8">
        <f>SQRT((C16-C17)^2+(D16-D17)^2)</f>
        <v>42.01190307520001</v>
      </c>
      <c r="I16" s="8">
        <f>SQRT((C16-C18)^2+(D16-D18)^2)</f>
        <v>61.18823416311342</v>
      </c>
      <c r="J16" s="8">
        <f>SQRT((C16-C19)^2+(D16-D19)^2)</f>
        <v>68.4470598345904</v>
      </c>
      <c r="M16">
        <f>H9/H16</f>
        <v>1.4662511214913998</v>
      </c>
      <c r="N16">
        <f>I9/I16</f>
        <v>1.5297058540778352</v>
      </c>
      <c r="O16">
        <f>J9/J16</f>
        <v>1.4960467293622326</v>
      </c>
    </row>
    <row r="17" spans="2:15" ht="12.75">
      <c r="B17" s="3" t="str">
        <f t="shared" si="1"/>
        <v>Badajoz</v>
      </c>
      <c r="C17" s="20">
        <v>207</v>
      </c>
      <c r="D17" s="20">
        <v>397</v>
      </c>
      <c r="E17" s="8"/>
      <c r="F17" s="8"/>
      <c r="G17" s="8"/>
      <c r="H17" s="8">
        <v>0</v>
      </c>
      <c r="I17" s="8">
        <f>SQRT((C17-C18)^2+(D17-D18)^2)</f>
        <v>56.4003546088143</v>
      </c>
      <c r="J17" s="8">
        <f>SQRT((C17-C19)^2+(D17-D19)^2)</f>
        <v>36.22154055254967</v>
      </c>
      <c r="N17">
        <f>I10/I17</f>
        <v>1.5106287999594399</v>
      </c>
      <c r="O17">
        <f>J10/J17</f>
        <v>1.4770216612510725</v>
      </c>
    </row>
    <row r="18" spans="2:15" ht="13.5" thickBot="1">
      <c r="B18" s="3" t="str">
        <f t="shared" si="1"/>
        <v>Cáceres</v>
      </c>
      <c r="C18" s="20">
        <v>241</v>
      </c>
      <c r="D18" s="20">
        <v>352</v>
      </c>
      <c r="E18" s="8"/>
      <c r="F18" s="8"/>
      <c r="G18" s="8"/>
      <c r="H18" s="8"/>
      <c r="I18" s="8">
        <v>0</v>
      </c>
      <c r="J18" s="8">
        <f>SQRT((C18-C19)^2+(D18-D19)^2)</f>
        <v>41.048751503547585</v>
      </c>
      <c r="O18">
        <f>J11/J18</f>
        <v>1.5177075481727087</v>
      </c>
    </row>
    <row r="19" spans="2:14" ht="13.5" thickBot="1">
      <c r="B19" s="3" t="str">
        <f t="shared" si="1"/>
        <v>Mérida</v>
      </c>
      <c r="C19" s="20">
        <v>243</v>
      </c>
      <c r="D19" s="20">
        <v>393</v>
      </c>
      <c r="E19" s="7"/>
      <c r="F19" s="7"/>
      <c r="G19" s="7"/>
      <c r="H19" s="7"/>
      <c r="I19" s="7"/>
      <c r="J19" s="7">
        <v>0</v>
      </c>
      <c r="K19" s="12" t="s">
        <v>14</v>
      </c>
      <c r="L19" s="13"/>
      <c r="M19" s="24">
        <f>AVERAGE(K14:O18)</f>
        <v>1.4791823550416414</v>
      </c>
      <c r="N19" s="13">
        <f>STDEV(K14:O17,O18)</f>
        <v>0.03310275046270222</v>
      </c>
    </row>
    <row r="20" spans="2:13" ht="12.75">
      <c r="B20" s="16" t="s">
        <v>19</v>
      </c>
      <c r="C20" s="17">
        <v>78</v>
      </c>
      <c r="D20" s="17">
        <v>408</v>
      </c>
      <c r="E20" t="s">
        <v>20</v>
      </c>
      <c r="M20" s="5" t="s">
        <v>21</v>
      </c>
    </row>
    <row r="21" spans="1:13" ht="12.75">
      <c r="A21" s="2" t="s">
        <v>15</v>
      </c>
      <c r="M21" s="5"/>
    </row>
    <row r="22" spans="5:10" ht="12.75">
      <c r="E22" s="5" t="str">
        <f aca="true" t="shared" si="2" ref="E22:J22">E13</f>
        <v>Castelo Branco</v>
      </c>
      <c r="F22" s="5" t="str">
        <f t="shared" si="2"/>
        <v>Évora</v>
      </c>
      <c r="G22" s="5" t="str">
        <f t="shared" si="2"/>
        <v>Portalegre</v>
      </c>
      <c r="H22" s="5" t="str">
        <f t="shared" si="2"/>
        <v>Badajoz</v>
      </c>
      <c r="I22" s="5" t="str">
        <f t="shared" si="2"/>
        <v>Cáceres</v>
      </c>
      <c r="J22" s="5" t="str">
        <f t="shared" si="2"/>
        <v>Mérida</v>
      </c>
    </row>
    <row r="23" spans="4:16" ht="12.75">
      <c r="D23" s="3" t="str">
        <f aca="true" t="shared" si="3" ref="D23:D28">B14</f>
        <v>Castelo Branco</v>
      </c>
      <c r="E23" s="8">
        <v>0</v>
      </c>
      <c r="F23" s="14">
        <f>F14*$M$19</f>
        <v>145.30661113952138</v>
      </c>
      <c r="G23" s="14">
        <f aca="true" t="shared" si="4" ref="G23:J27">G14*$M$19</f>
        <v>58.16027647299543</v>
      </c>
      <c r="H23" s="14">
        <f t="shared" si="4"/>
        <v>115.9531793463287</v>
      </c>
      <c r="I23" s="14">
        <f t="shared" si="4"/>
        <v>104.11174331994073</v>
      </c>
      <c r="J23" s="14">
        <f t="shared" si="4"/>
        <v>141.2057567695402</v>
      </c>
      <c r="K23" s="10">
        <f>ABS(F23-F7)</f>
        <v>1.4066111395213738</v>
      </c>
      <c r="L23" s="10">
        <f>ABS(G23-G7)</f>
        <v>1.6397235270045698</v>
      </c>
      <c r="M23" s="10">
        <f>ABS(H23-H7)</f>
        <v>2.3531793463287016</v>
      </c>
      <c r="N23" s="10">
        <f>ABS(I23-I7)</f>
        <v>1.0117433199407344</v>
      </c>
      <c r="O23" s="10">
        <f>ABS(J23-J7)</f>
        <v>0.10575676954019286</v>
      </c>
      <c r="P23" s="10"/>
    </row>
    <row r="24" spans="4:15" ht="12.75">
      <c r="D24" s="3" t="str">
        <f t="shared" si="3"/>
        <v>Évora</v>
      </c>
      <c r="E24" s="8"/>
      <c r="F24" s="8">
        <v>0</v>
      </c>
      <c r="G24" s="14">
        <f t="shared" si="4"/>
        <v>93.97174603936516</v>
      </c>
      <c r="H24" s="14">
        <f t="shared" si="4"/>
        <v>89.548580729372</v>
      </c>
      <c r="I24" s="14">
        <f t="shared" si="4"/>
        <v>166.85281871089924</v>
      </c>
      <c r="J24" s="14">
        <f t="shared" si="4"/>
        <v>141.82420167240804</v>
      </c>
      <c r="L24" s="10">
        <f>ABS(G24-G8)</f>
        <v>5.071746039365152</v>
      </c>
      <c r="M24" s="10">
        <f>ABS(H24-H8)</f>
        <v>1.2485807293720086</v>
      </c>
      <c r="N24" s="10">
        <f>ABS(I24-I8)</f>
        <v>0.15281871089925403</v>
      </c>
      <c r="O24" s="10">
        <f>ABS(J24-J8)</f>
        <v>0.2242016724080429</v>
      </c>
    </row>
    <row r="25" spans="4:15" ht="12.75">
      <c r="D25" s="3" t="str">
        <f t="shared" si="3"/>
        <v>Portalegre</v>
      </c>
      <c r="E25" s="8"/>
      <c r="F25" s="8"/>
      <c r="G25" s="8">
        <v>0</v>
      </c>
      <c r="H25" s="14">
        <f t="shared" si="4"/>
        <v>62.14326573055553</v>
      </c>
      <c r="I25" s="14">
        <f t="shared" si="4"/>
        <v>90.50855631023353</v>
      </c>
      <c r="J25" s="14">
        <f t="shared" si="4"/>
        <v>101.24568316180557</v>
      </c>
      <c r="M25" s="10">
        <f>ABS(H25-H9)</f>
        <v>0.5432657305555253</v>
      </c>
      <c r="N25" s="10">
        <f>ABS(I25-I9)</f>
        <v>3.0914436897664643</v>
      </c>
      <c r="O25" s="10">
        <f>ABS(J25-J9)</f>
        <v>1.1543168381944326</v>
      </c>
    </row>
    <row r="26" spans="4:15" ht="12.75">
      <c r="D26" s="3" t="str">
        <f t="shared" si="3"/>
        <v>Badajoz</v>
      </c>
      <c r="E26" s="8"/>
      <c r="F26" s="8"/>
      <c r="G26" s="8"/>
      <c r="H26" s="8">
        <v>0</v>
      </c>
      <c r="I26" s="14">
        <f t="shared" si="4"/>
        <v>83.42640935544962</v>
      </c>
      <c r="J26" s="14">
        <f t="shared" si="4"/>
        <v>53.578263657756736</v>
      </c>
      <c r="N26" s="10">
        <f>ABS(I26-I10)</f>
        <v>1.7735906445503815</v>
      </c>
      <c r="O26" s="10">
        <f>ABS(J26-J10)</f>
        <v>0.07826365775673594</v>
      </c>
    </row>
    <row r="27" spans="4:15" ht="12.75">
      <c r="D27" s="3" t="str">
        <f t="shared" si="3"/>
        <v>Cáceres</v>
      </c>
      <c r="E27" s="8"/>
      <c r="F27" s="8"/>
      <c r="G27" s="8"/>
      <c r="H27" s="8"/>
      <c r="I27" s="8">
        <v>0</v>
      </c>
      <c r="J27" s="14">
        <f t="shared" si="4"/>
        <v>60.71858892053664</v>
      </c>
      <c r="O27" s="10">
        <f>ABS(J27-J11)</f>
        <v>1.5814110794633578</v>
      </c>
    </row>
    <row r="28" spans="4:15" ht="12.75">
      <c r="D28" s="3" t="str">
        <f t="shared" si="3"/>
        <v>Mérida</v>
      </c>
      <c r="E28" s="7"/>
      <c r="F28" s="7"/>
      <c r="G28" s="7"/>
      <c r="H28" s="7"/>
      <c r="I28" s="7"/>
      <c r="J28" s="7">
        <v>0</v>
      </c>
      <c r="K28" t="s">
        <v>14</v>
      </c>
      <c r="L28" s="9"/>
      <c r="M28" s="11">
        <f>AVERAGE(K23:O27)</f>
        <v>1.4291101929777952</v>
      </c>
      <c r="N28" s="11">
        <f>STDEV(K23:O26,O27)</f>
        <v>1.330858257401406</v>
      </c>
      <c r="O28" t="s">
        <v>16</v>
      </c>
    </row>
    <row r="29" spans="1:14" ht="12.75">
      <c r="A29" s="2" t="s">
        <v>22</v>
      </c>
      <c r="L29" s="9"/>
      <c r="M29" s="11"/>
      <c r="N29" s="11"/>
    </row>
    <row r="30" spans="3:11" ht="12.75">
      <c r="C30" s="5" t="s">
        <v>10</v>
      </c>
      <c r="D30" s="5" t="s">
        <v>11</v>
      </c>
      <c r="E30" s="5" t="str">
        <f aca="true" t="shared" si="5" ref="E30:J30">E22</f>
        <v>Castelo Branco</v>
      </c>
      <c r="F30" s="5" t="str">
        <f t="shared" si="5"/>
        <v>Évora</v>
      </c>
      <c r="G30" s="5" t="str">
        <f t="shared" si="5"/>
        <v>Portalegre</v>
      </c>
      <c r="H30" s="5" t="str">
        <f t="shared" si="5"/>
        <v>Badajoz</v>
      </c>
      <c r="I30" s="5" t="str">
        <f t="shared" si="5"/>
        <v>Cáceres</v>
      </c>
      <c r="J30" s="5" t="str">
        <f t="shared" si="5"/>
        <v>Mérida</v>
      </c>
      <c r="K30" s="15" t="s">
        <v>23</v>
      </c>
    </row>
    <row r="31" spans="2:11" ht="12.75">
      <c r="B31" s="3" t="str">
        <f aca="true" t="shared" si="6" ref="B31:B36">D23</f>
        <v>Castelo Branco</v>
      </c>
      <c r="C31" s="19">
        <f aca="true" t="shared" si="7" ref="C31:C36">C14*$M$19</f>
        <v>260.33609448732886</v>
      </c>
      <c r="D31" s="19">
        <f aca="true" t="shared" si="8" ref="D31:D36">D14*$M$19</f>
        <v>480.73426538853346</v>
      </c>
      <c r="E31" s="8">
        <v>0</v>
      </c>
      <c r="F31" s="21">
        <f>SQRT((C31-C32)^2+(D31-D32)^2)</f>
        <v>145.30661113952138</v>
      </c>
      <c r="G31" s="21">
        <f>SQRT((C31-C33)^2+(D31-D33)^2)</f>
        <v>58.160276472995406</v>
      </c>
      <c r="H31" s="21">
        <f>SQRT((C31-C34)^2+(D31-D34)^2)</f>
        <v>115.95317934632865</v>
      </c>
      <c r="I31" s="21">
        <f>SQRT((C31-C35)^2+(D31-D35)^2)</f>
        <v>104.11174331994074</v>
      </c>
      <c r="J31" s="21">
        <f>SQRT((C31-C36)^2+(D31-D36)^2)</f>
        <v>141.20575676954027</v>
      </c>
      <c r="K31">
        <f aca="true" t="shared" si="9" ref="K31:K36">M3</f>
        <v>195433</v>
      </c>
    </row>
    <row r="32" spans="2:11" ht="12.75">
      <c r="B32" s="3" t="str">
        <f t="shared" si="6"/>
        <v>Évora</v>
      </c>
      <c r="C32" s="19">
        <f t="shared" si="7"/>
        <v>223.35653561128785</v>
      </c>
      <c r="D32" s="19">
        <f t="shared" si="8"/>
        <v>621.2565891174894</v>
      </c>
      <c r="E32" s="8"/>
      <c r="F32" s="8">
        <v>0</v>
      </c>
      <c r="G32" s="21">
        <f>SQRT((C32-C33)^2+(D32-D33)^2)</f>
        <v>93.97174603936517</v>
      </c>
      <c r="H32" s="21">
        <f>SQRT((C32-C34)^2+(D32-D34)^2)</f>
        <v>89.54858072937203</v>
      </c>
      <c r="I32" s="21">
        <f>SQRT((C32-C35)^2+(D32-D35)^2)</f>
        <v>166.8528187108993</v>
      </c>
      <c r="J32" s="21">
        <f>SQRT((C32-C36)^2+(D32-D36)^2)</f>
        <v>141.82420167240807</v>
      </c>
      <c r="K32">
        <f t="shared" si="9"/>
        <v>168034</v>
      </c>
    </row>
    <row r="33" spans="2:11" ht="12.75">
      <c r="B33" s="3" t="str">
        <f t="shared" si="6"/>
        <v>Portalegre</v>
      </c>
      <c r="C33" s="19">
        <f t="shared" si="7"/>
        <v>267.7320062625371</v>
      </c>
      <c r="D33" s="19">
        <f t="shared" si="8"/>
        <v>538.4223772351575</v>
      </c>
      <c r="E33" s="8"/>
      <c r="F33" s="8"/>
      <c r="G33" s="8">
        <v>0</v>
      </c>
      <c r="H33" s="21">
        <f>SQRT((C33-C34)^2+(D33-D34)^2)</f>
        <v>62.143265730555505</v>
      </c>
      <c r="I33" s="21">
        <f>SQRT((C33-C35)^2+(D33-D35)^2)</f>
        <v>90.50855631023356</v>
      </c>
      <c r="J33" s="21">
        <f>SQRT((C33-C36)^2+(D33-D36)^2)</f>
        <v>101.24568316180564</v>
      </c>
      <c r="K33">
        <f t="shared" si="9"/>
        <v>24930</v>
      </c>
    </row>
    <row r="34" spans="2:11" ht="12.75">
      <c r="B34" s="3" t="str">
        <f t="shared" si="6"/>
        <v>Badajoz</v>
      </c>
      <c r="C34" s="19">
        <f t="shared" si="7"/>
        <v>306.19074749361977</v>
      </c>
      <c r="D34" s="19">
        <f t="shared" si="8"/>
        <v>587.2353949515316</v>
      </c>
      <c r="E34" s="8"/>
      <c r="F34" s="8"/>
      <c r="G34" s="8"/>
      <c r="H34" s="8">
        <v>0</v>
      </c>
      <c r="I34" s="21">
        <f>SQRT((C34-C35)^2+(D34-D35)^2)</f>
        <v>83.42640935544964</v>
      </c>
      <c r="J34" s="21">
        <f>SQRT((C34-C36)^2+(D34-D36)^2)</f>
        <v>53.57826365775676</v>
      </c>
      <c r="K34">
        <f t="shared" si="9"/>
        <v>151565</v>
      </c>
    </row>
    <row r="35" spans="2:11" ht="12.75">
      <c r="B35" s="3" t="str">
        <f t="shared" si="6"/>
        <v>Cáceres</v>
      </c>
      <c r="C35" s="19">
        <f t="shared" si="7"/>
        <v>356.4829475650356</v>
      </c>
      <c r="D35" s="19">
        <f t="shared" si="8"/>
        <v>520.6721889746577</v>
      </c>
      <c r="E35" s="8"/>
      <c r="F35" s="8"/>
      <c r="G35" s="8"/>
      <c r="H35" s="8"/>
      <c r="I35" s="8">
        <v>0</v>
      </c>
      <c r="J35" s="21">
        <f>SQRT((C35-C36)^2+(D35-D36)^2)</f>
        <v>60.71858892053673</v>
      </c>
      <c r="K35">
        <f t="shared" si="9"/>
        <v>95026</v>
      </c>
    </row>
    <row r="36" spans="2:11" ht="12.75">
      <c r="B36" s="3" t="str">
        <f t="shared" si="6"/>
        <v>Mérida</v>
      </c>
      <c r="C36" s="19">
        <f t="shared" si="7"/>
        <v>359.4413122751189</v>
      </c>
      <c r="D36" s="19">
        <f t="shared" si="8"/>
        <v>581.3186655313651</v>
      </c>
      <c r="E36" s="7"/>
      <c r="F36" s="7"/>
      <c r="G36" s="7"/>
      <c r="H36" s="7"/>
      <c r="I36" s="7"/>
      <c r="J36" s="7">
        <v>0</v>
      </c>
      <c r="K36">
        <f t="shared" si="9"/>
        <v>57797</v>
      </c>
    </row>
    <row r="38" ht="12.75">
      <c r="A38" s="2" t="s">
        <v>24</v>
      </c>
    </row>
    <row r="39" spans="3:15" ht="12.75">
      <c r="C39" s="5" t="s">
        <v>10</v>
      </c>
      <c r="D39" s="5" t="s">
        <v>11</v>
      </c>
      <c r="E39" s="5" t="s">
        <v>23</v>
      </c>
      <c r="F39" s="5" t="s">
        <v>25</v>
      </c>
      <c r="G39" s="3" t="s">
        <v>26</v>
      </c>
      <c r="H39" s="5" t="s">
        <v>10</v>
      </c>
      <c r="I39" s="5" t="s">
        <v>11</v>
      </c>
      <c r="M39" s="35" t="s">
        <v>29</v>
      </c>
      <c r="N39" s="5" t="s">
        <v>10</v>
      </c>
      <c r="O39" s="5" t="s">
        <v>11</v>
      </c>
    </row>
    <row r="40" spans="2:15" ht="12.75">
      <c r="B40" s="3" t="str">
        <f>B31</f>
        <v>Castelo Branco</v>
      </c>
      <c r="C40" s="26">
        <f>C31</f>
        <v>260.33609448732886</v>
      </c>
      <c r="D40" s="27">
        <f aca="true" t="shared" si="10" ref="D40:D45">D31</f>
        <v>480.73426538853346</v>
      </c>
      <c r="E40" s="32">
        <f aca="true" t="shared" si="11" ref="E40:E45">K31</f>
        <v>195433</v>
      </c>
      <c r="F40" s="37">
        <f aca="true" t="shared" si="12" ref="F40:F45">SQRT((C40-$H$40)^2+(D40-$I$40)^2)</f>
        <v>88.26286906297976</v>
      </c>
      <c r="H40" s="46">
        <v>291.5479700139256</v>
      </c>
      <c r="I40" s="46">
        <v>563.2942610361893</v>
      </c>
      <c r="J40" t="s">
        <v>16</v>
      </c>
      <c r="L40" s="5" t="s">
        <v>28</v>
      </c>
      <c r="N40" s="5">
        <f>H40/$M$19</f>
        <v>197.10076247206047</v>
      </c>
      <c r="O40" s="5">
        <f>I40/$M$19</f>
        <v>380.8146163427778</v>
      </c>
    </row>
    <row r="41" spans="2:12" ht="15" thickBot="1">
      <c r="B41" s="3" t="str">
        <f aca="true" t="shared" si="13" ref="B41:C45">B32</f>
        <v>Évora</v>
      </c>
      <c r="C41" s="28">
        <f t="shared" si="13"/>
        <v>223.35653561128785</v>
      </c>
      <c r="D41" s="29">
        <f t="shared" si="10"/>
        <v>621.2565891174894</v>
      </c>
      <c r="E41" s="33">
        <f t="shared" si="11"/>
        <v>168034</v>
      </c>
      <c r="F41" s="37">
        <f t="shared" si="12"/>
        <v>89.4969452131944</v>
      </c>
      <c r="H41" s="23" t="s">
        <v>33</v>
      </c>
      <c r="I41" s="3" t="s">
        <v>27</v>
      </c>
      <c r="L41" s="22">
        <f>MIN($H$42)</f>
        <v>48840983.34187118</v>
      </c>
    </row>
    <row r="42" spans="2:12" ht="13.5" thickBot="1">
      <c r="B42" s="3" t="str">
        <f t="shared" si="13"/>
        <v>Portalegre</v>
      </c>
      <c r="C42" s="28">
        <f t="shared" si="13"/>
        <v>267.7320062625371</v>
      </c>
      <c r="D42" s="29">
        <f t="shared" si="10"/>
        <v>538.4223772351575</v>
      </c>
      <c r="E42" s="33">
        <f t="shared" si="11"/>
        <v>24930</v>
      </c>
      <c r="F42" s="37">
        <f t="shared" si="12"/>
        <v>34.435602698653014</v>
      </c>
      <c r="H42" s="25">
        <f>SUMPRODUCT(E40:E45,F40:F45)</f>
        <v>48840983.34187118</v>
      </c>
      <c r="L42" s="22">
        <f>COUNT($H$40:$I$40)</f>
        <v>2</v>
      </c>
    </row>
    <row r="43" spans="2:12" ht="12.75">
      <c r="B43" s="3" t="str">
        <f t="shared" si="13"/>
        <v>Badajoz</v>
      </c>
      <c r="C43" s="28">
        <f t="shared" si="13"/>
        <v>306.19074749361977</v>
      </c>
      <c r="D43" s="29">
        <f t="shared" si="10"/>
        <v>587.2353949515316</v>
      </c>
      <c r="E43" s="33">
        <f t="shared" si="11"/>
        <v>151565</v>
      </c>
      <c r="F43" s="37">
        <f t="shared" si="12"/>
        <v>28.0640129965797</v>
      </c>
      <c r="L43" s="22">
        <f>{100;100;1E-06;0.05;FALSE;FALSE;FALSE;1;1;1;0.0001;FALSE}</f>
        <v>100</v>
      </c>
    </row>
    <row r="44" spans="2:8" ht="12.75">
      <c r="B44" s="3" t="str">
        <f t="shared" si="13"/>
        <v>Cáceres</v>
      </c>
      <c r="C44" s="28">
        <f t="shared" si="13"/>
        <v>356.4829475650356</v>
      </c>
      <c r="D44" s="29">
        <f t="shared" si="10"/>
        <v>520.6721889746577</v>
      </c>
      <c r="E44" s="33">
        <f t="shared" si="11"/>
        <v>95026</v>
      </c>
      <c r="F44" s="37">
        <f t="shared" si="12"/>
        <v>77.67362703248477</v>
      </c>
      <c r="H44" t="s">
        <v>30</v>
      </c>
    </row>
    <row r="45" spans="2:9" ht="12.75">
      <c r="B45" s="3" t="str">
        <f t="shared" si="13"/>
        <v>Mérida</v>
      </c>
      <c r="C45" s="30">
        <f t="shared" si="13"/>
        <v>359.4413122751189</v>
      </c>
      <c r="D45" s="31">
        <f t="shared" si="10"/>
        <v>581.3186655313651</v>
      </c>
      <c r="E45" s="34">
        <f t="shared" si="11"/>
        <v>57797</v>
      </c>
      <c r="F45" s="37">
        <f t="shared" si="12"/>
        <v>70.24517834557226</v>
      </c>
      <c r="H45" s="18">
        <f>(C42+C43)/2</f>
        <v>286.96137687807845</v>
      </c>
      <c r="I45" s="18">
        <f>(D42+D43)/2</f>
        <v>562.8288860933445</v>
      </c>
    </row>
    <row r="46" spans="3:5" ht="12.75">
      <c r="C46" s="5" t="s">
        <v>16</v>
      </c>
      <c r="D46" s="5" t="s">
        <v>16</v>
      </c>
      <c r="E46" s="5" t="s">
        <v>31</v>
      </c>
    </row>
    <row r="48" spans="2:4" ht="12.75">
      <c r="B48" s="3" t="s">
        <v>34</v>
      </c>
      <c r="C48" s="6">
        <v>1</v>
      </c>
      <c r="D48" t="s">
        <v>32</v>
      </c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</sheetData>
  <hyperlinks>
    <hyperlink ref="F1" r:id="rId1" display="http://pt.wikipedia.org/wiki/Anexo:Lista_de_distritos_portugueses_ordenados_por_popula%C3%A7%C3%A3o"/>
    <hyperlink ref="F2" r:id="rId2" display="http://www.daftlogic.com/projects-google-maps-distance-calculator.htm"/>
  </hyperlinks>
  <printOptions/>
  <pageMargins left="0.25" right="0.25" top="0.5" bottom="0.5" header="0.5" footer="0.5"/>
  <pageSetup horizontalDpi="1200" verticalDpi="12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8:Q28"/>
  <sheetViews>
    <sheetView workbookViewId="0" topLeftCell="A1">
      <selection activeCell="A1" sqref="A1"/>
    </sheetView>
  </sheetViews>
  <sheetFormatPr defaultColWidth="9.33203125" defaultRowHeight="12.75"/>
  <sheetData>
    <row r="28" spans="1:17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</sheetData>
  <printOptions/>
  <pageMargins left="0.25" right="0.2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33203125" defaultRowHeight="12.75"/>
  <sheetData>
    <row r="1" spans="1:4" ht="12.75">
      <c r="A1" s="2" t="str">
        <f>data!A38</f>
        <v>Where is the depot ?</v>
      </c>
      <c r="D1" s="2" t="s">
        <v>37</v>
      </c>
    </row>
    <row r="2" spans="1:5" ht="12.75">
      <c r="A2" s="2"/>
      <c r="E2" t="s">
        <v>38</v>
      </c>
    </row>
    <row r="3" spans="3:11" ht="12.75">
      <c r="C3" s="5" t="str">
        <f>data!C39</f>
        <v>X</v>
      </c>
      <c r="D3" s="5" t="str">
        <f>data!D39</f>
        <v>Y</v>
      </c>
      <c r="E3" s="5" t="str">
        <f>data!E39</f>
        <v>Weight</v>
      </c>
      <c r="F3" s="5" t="str">
        <f>data!F39</f>
        <v>Dist_to_dep</v>
      </c>
      <c r="G3" s="3" t="s">
        <v>26</v>
      </c>
      <c r="H3" s="5" t="s">
        <v>10</v>
      </c>
      <c r="I3" s="5" t="s">
        <v>11</v>
      </c>
      <c r="J3" s="5"/>
      <c r="K3" s="5" t="s">
        <v>35</v>
      </c>
    </row>
    <row r="4" spans="2:13" ht="12.75">
      <c r="B4" s="3" t="str">
        <f>data!B40</f>
        <v>Castelo Branco</v>
      </c>
      <c r="C4" s="40">
        <f>data!C40</f>
        <v>260.33609448732886</v>
      </c>
      <c r="D4" s="41">
        <f>data!D40</f>
        <v>480.73426538853346</v>
      </c>
      <c r="E4" s="38">
        <f>data!E40</f>
        <v>195433</v>
      </c>
      <c r="F4" s="37">
        <f aca="true" t="shared" si="0" ref="F4:F9">SQRT(($H$4-C4)^2+($I$4-D4)^2)</f>
        <v>0.004893419008056532</v>
      </c>
      <c r="H4" s="46">
        <v>260.33794683371127</v>
      </c>
      <c r="I4" s="46">
        <v>480.7387946668941</v>
      </c>
      <c r="J4" t="s">
        <v>16</v>
      </c>
      <c r="K4" s="47">
        <f aca="true" t="shared" si="1" ref="K4:K9">E4/SUM($E$4:$E$9)</f>
        <v>0.28209762047388437</v>
      </c>
      <c r="M4" s="5" t="s">
        <v>28</v>
      </c>
    </row>
    <row r="5" spans="2:13" ht="15" thickBot="1">
      <c r="B5" s="3" t="str">
        <f>data!B41</f>
        <v>Évora</v>
      </c>
      <c r="C5" s="42">
        <f>data!C41</f>
        <v>223.35653561128785</v>
      </c>
      <c r="D5" s="43">
        <f>data!D41</f>
        <v>621.2565891174894</v>
      </c>
      <c r="E5" s="38">
        <f>data!E41</f>
        <v>168034</v>
      </c>
      <c r="F5" s="37">
        <f t="shared" si="0"/>
        <v>145.30270242931388</v>
      </c>
      <c r="H5" s="23" t="s">
        <v>33</v>
      </c>
      <c r="I5" s="3" t="s">
        <v>27</v>
      </c>
      <c r="J5" s="3"/>
      <c r="K5" s="47">
        <f t="shared" si="1"/>
        <v>0.2425485540246974</v>
      </c>
      <c r="M5" s="39">
        <f>MIN($H$6)</f>
        <v>61494272.919875495</v>
      </c>
    </row>
    <row r="6" spans="2:13" ht="13.5" thickBot="1">
      <c r="B6" s="3" t="str">
        <f>data!B42</f>
        <v>Portalegre</v>
      </c>
      <c r="C6" s="42">
        <f>data!C42</f>
        <v>267.7320062625371</v>
      </c>
      <c r="D6" s="43">
        <f>data!D42</f>
        <v>538.4223772351575</v>
      </c>
      <c r="E6" s="38">
        <f>data!E42</f>
        <v>24930</v>
      </c>
      <c r="F6" s="37">
        <f t="shared" si="0"/>
        <v>58.15554842615334</v>
      </c>
      <c r="H6" s="25">
        <f>SUMPRODUCT(E4:E9,F4:F9)</f>
        <v>61494272.919875495</v>
      </c>
      <c r="K6" s="47">
        <f t="shared" si="1"/>
        <v>0.035985190210527075</v>
      </c>
      <c r="M6" s="22">
        <f>COUNT($H$4:$I$4)</f>
        <v>2</v>
      </c>
    </row>
    <row r="7" spans="2:13" ht="12.75">
      <c r="B7" s="3" t="str">
        <f>data!B43</f>
        <v>Badajoz</v>
      </c>
      <c r="C7" s="42">
        <f>data!C43</f>
        <v>306.19074749361977</v>
      </c>
      <c r="D7" s="43">
        <f>data!D43</f>
        <v>587.2353949515316</v>
      </c>
      <c r="E7" s="38">
        <f>data!E43</f>
        <v>151565</v>
      </c>
      <c r="F7" s="37">
        <f t="shared" si="0"/>
        <v>115.94828675122008</v>
      </c>
      <c r="K7" s="47">
        <f t="shared" si="1"/>
        <v>0.21877638805690078</v>
      </c>
      <c r="M7" s="22">
        <f>{100;100;1E-06;0.05;FALSE;FALSE;FALSE;1;1;1;0.0001;FALSE}</f>
        <v>100</v>
      </c>
    </row>
    <row r="8" spans="2:11" ht="12.75">
      <c r="B8" s="3" t="str">
        <f>data!B44</f>
        <v>Cáceres</v>
      </c>
      <c r="C8" s="42">
        <f>data!C44</f>
        <v>356.4829475650356</v>
      </c>
      <c r="D8" s="43">
        <f>data!D44</f>
        <v>520.6721889746577</v>
      </c>
      <c r="E8" s="38">
        <f>data!E44</f>
        <v>95026</v>
      </c>
      <c r="F8" s="37">
        <f t="shared" si="0"/>
        <v>104.1082952821997</v>
      </c>
      <c r="K8" s="47">
        <f t="shared" si="1"/>
        <v>0.13716520998578202</v>
      </c>
    </row>
    <row r="9" spans="2:11" ht="12.75">
      <c r="B9" s="3" t="str">
        <f>data!B45</f>
        <v>Mérida</v>
      </c>
      <c r="C9" s="44">
        <f>data!C45</f>
        <v>359.4413122751189</v>
      </c>
      <c r="D9" s="45">
        <f>data!D45</f>
        <v>581.3186655313651</v>
      </c>
      <c r="E9" s="38">
        <f>data!E45</f>
        <v>57797</v>
      </c>
      <c r="F9" s="37">
        <f t="shared" si="0"/>
        <v>141.2012303945219</v>
      </c>
      <c r="K9" s="47">
        <f t="shared" si="1"/>
        <v>0.08342703724820832</v>
      </c>
    </row>
    <row r="10" spans="3:11" ht="12.75">
      <c r="C10" s="5" t="str">
        <f>data!C46</f>
        <v>km</v>
      </c>
      <c r="D10" s="5" t="str">
        <f>data!D46</f>
        <v>km</v>
      </c>
      <c r="E10" s="5" t="str">
        <f>data!E46</f>
        <v>kg</v>
      </c>
      <c r="K10" s="7">
        <f>SUM(K4:K9)</f>
        <v>0.9999999999999999</v>
      </c>
    </row>
    <row r="12" spans="2:12" ht="12.75">
      <c r="B12" s="3" t="str">
        <f>data!B48</f>
        <v>Rate, r =</v>
      </c>
      <c r="C12" s="7">
        <f>data!C48</f>
        <v>1</v>
      </c>
      <c r="D12" t="str">
        <f>data!D48</f>
        <v>$ / kg-km</v>
      </c>
      <c r="J12" s="3" t="str">
        <f>$B$4</f>
        <v>Castelo Branco</v>
      </c>
      <c r="K12" s="6">
        <v>431150</v>
      </c>
      <c r="L12" t="s">
        <v>36</v>
      </c>
    </row>
    <row r="14" spans="1:17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</sheetData>
  <printOptions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2012-06-03T01:40:00Z</cp:lastPrinted>
  <dcterms:created xsi:type="dcterms:W3CDTF">2012-05-26T00:15:16Z</dcterms:created>
  <dcterms:modified xsi:type="dcterms:W3CDTF">2012-06-03T01:47:18Z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