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esktop\"/>
    </mc:Choice>
  </mc:AlternateContent>
  <bookViews>
    <workbookView xWindow="120" yWindow="90" windowWidth="11655" windowHeight="6795"/>
  </bookViews>
  <sheets>
    <sheet name="calc1" sheetId="1" r:id="rId1"/>
    <sheet name="graf1" sheetId="4" r:id="rId2"/>
    <sheet name="calc9" sheetId="5" r:id="rId3"/>
    <sheet name="graf9" sheetId="6" r:id="rId4"/>
    <sheet name="limits" sheetId="7" r:id="rId5"/>
    <sheet name="empir&amp;Poi" sheetId="9" r:id="rId6"/>
    <sheet name="sensitivity" sheetId="8" r:id="rId7"/>
  </sheets>
  <calcPr calcId="152511"/>
</workbook>
</file>

<file path=xl/calcChain.xml><?xml version="1.0" encoding="utf-8"?>
<calcChain xmlns="http://schemas.openxmlformats.org/spreadsheetml/2006/main">
  <c r="E18" i="1" l="1"/>
  <c r="H8" i="1"/>
  <c r="H7" i="1"/>
  <c r="H6" i="1"/>
  <c r="B8" i="9"/>
  <c r="B9" i="9"/>
  <c r="B10" i="9"/>
  <c r="B11" i="9"/>
  <c r="B12" i="9"/>
  <c r="B13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9" i="9"/>
  <c r="A10" i="7"/>
  <c r="A11" i="7" s="1"/>
  <c r="F5" i="7"/>
  <c r="B10" i="7"/>
  <c r="B9" i="7"/>
  <c r="C9" i="7" s="1"/>
  <c r="G2" i="7"/>
  <c r="F3" i="7" s="1"/>
  <c r="D11" i="7"/>
  <c r="E10" i="7"/>
  <c r="E9" i="7"/>
  <c r="F1" i="7"/>
  <c r="G1" i="7" s="1"/>
  <c r="H23" i="5"/>
  <c r="G16" i="5"/>
  <c r="E8" i="5"/>
  <c r="C16" i="5"/>
  <c r="C18" i="5" s="1"/>
  <c r="B16" i="5"/>
  <c r="B18" i="5" s="1"/>
  <c r="F16" i="5"/>
  <c r="E16" i="5"/>
  <c r="D16" i="5"/>
  <c r="L8" i="5"/>
  <c r="K8" i="5"/>
  <c r="K9" i="5"/>
  <c r="K10" i="5" s="1"/>
  <c r="K11" i="5" s="1"/>
  <c r="K12" i="5"/>
  <c r="K13" i="5" s="1"/>
  <c r="K14" i="5" s="1"/>
  <c r="B4" i="5"/>
  <c r="C17" i="5"/>
  <c r="C19" i="5"/>
  <c r="D17" i="5"/>
  <c r="A19" i="5"/>
  <c r="A20" i="5"/>
  <c r="A21" i="5" s="1"/>
  <c r="A22" i="5" s="1"/>
  <c r="A23" i="5"/>
  <c r="A9" i="5"/>
  <c r="A10" i="5" s="1"/>
  <c r="I9" i="5"/>
  <c r="L9" i="5"/>
  <c r="I10" i="5"/>
  <c r="J23" i="1"/>
  <c r="J24" i="1" s="1"/>
  <c r="E23" i="1"/>
  <c r="A24" i="1"/>
  <c r="E24" i="1"/>
  <c r="D20" i="1"/>
  <c r="B18" i="1"/>
  <c r="B14" i="1"/>
  <c r="B17" i="1"/>
  <c r="B24" i="1" s="1"/>
  <c r="D24" i="1" s="1"/>
  <c r="J7" i="1"/>
  <c r="E7" i="1"/>
  <c r="E8" i="1" s="1"/>
  <c r="E6" i="1"/>
  <c r="A25" i="1"/>
  <c r="C23" i="1"/>
  <c r="C24" i="1"/>
  <c r="D18" i="5"/>
  <c r="E25" i="1"/>
  <c r="B6" i="9" l="1"/>
  <c r="C25" i="1"/>
  <c r="A26" i="1"/>
  <c r="B25" i="1"/>
  <c r="D25" i="1" s="1"/>
  <c r="B10" i="5"/>
  <c r="E10" i="5" s="1"/>
  <c r="A11" i="5"/>
  <c r="D20" i="5"/>
  <c r="D19" i="5"/>
  <c r="E17" i="5"/>
  <c r="I11" i="5"/>
  <c r="I12" i="5" s="1"/>
  <c r="I13" i="5" s="1"/>
  <c r="I14" i="5" s="1"/>
  <c r="M13" i="5" s="1"/>
  <c r="M12" i="5" s="1"/>
  <c r="E6" i="7"/>
  <c r="E4" i="7"/>
  <c r="J19" i="1"/>
  <c r="J20" i="1" s="1"/>
  <c r="B23" i="1"/>
  <c r="D23" i="1" s="1"/>
  <c r="H18" i="1"/>
  <c r="J18" i="1" s="1"/>
  <c r="L10" i="5"/>
  <c r="B9" i="5"/>
  <c r="E9" i="5" s="1"/>
  <c r="C11" i="7"/>
  <c r="E11" i="7"/>
  <c r="A12" i="7"/>
  <c r="B11" i="7"/>
  <c r="D9" i="7"/>
  <c r="F9" i="7" s="1"/>
  <c r="C10" i="7"/>
  <c r="F10" i="7" s="1"/>
  <c r="D10" i="7"/>
  <c r="L11" i="5" l="1"/>
  <c r="L12" i="5" s="1"/>
  <c r="L13" i="5" s="1"/>
  <c r="L14" i="5" s="1"/>
  <c r="F4" i="5"/>
  <c r="A13" i="7"/>
  <c r="C12" i="7"/>
  <c r="F12" i="7" s="1"/>
  <c r="E12" i="7"/>
  <c r="B12" i="7"/>
  <c r="C12" i="5"/>
  <c r="M11" i="5"/>
  <c r="A27" i="1"/>
  <c r="E26" i="1"/>
  <c r="C26" i="1"/>
  <c r="F11" i="7"/>
  <c r="D12" i="7"/>
  <c r="B11" i="5"/>
  <c r="E11" i="5" s="1"/>
  <c r="A12" i="5"/>
  <c r="B26" i="1"/>
  <c r="F17" i="5"/>
  <c r="E21" i="5"/>
  <c r="E20" i="5"/>
  <c r="E18" i="5"/>
  <c r="E19" i="5"/>
  <c r="J25" i="1"/>
  <c r="C11" i="5" l="1"/>
  <c r="F11" i="5" s="1"/>
  <c r="M10" i="5"/>
  <c r="D26" i="1"/>
  <c r="E13" i="7"/>
  <c r="B13" i="7"/>
  <c r="C13" i="7" s="1"/>
  <c r="F13" i="7" s="1"/>
  <c r="A14" i="7"/>
  <c r="D13" i="7"/>
  <c r="B12" i="5"/>
  <c r="E12" i="5" s="1"/>
  <c r="A13" i="5"/>
  <c r="F12" i="5"/>
  <c r="E27" i="1"/>
  <c r="C27" i="1"/>
  <c r="A28" i="1"/>
  <c r="B27" i="1"/>
  <c r="D27" i="1" s="1"/>
  <c r="D3" i="9"/>
  <c r="G4" i="5"/>
  <c r="B4" i="9" s="1"/>
  <c r="F19" i="5"/>
  <c r="H19" i="5" s="1"/>
  <c r="D9" i="5" s="1"/>
  <c r="G9" i="5" s="1"/>
  <c r="F22" i="5"/>
  <c r="H22" i="5" s="1"/>
  <c r="D12" i="5" s="1"/>
  <c r="G12" i="5" s="1"/>
  <c r="F20" i="5"/>
  <c r="H20" i="5" s="1"/>
  <c r="D10" i="5" s="1"/>
  <c r="G10" i="5" s="1"/>
  <c r="F21" i="5"/>
  <c r="H21" i="5" s="1"/>
  <c r="D11" i="5" s="1"/>
  <c r="G11" i="5" s="1"/>
  <c r="H11" i="5" s="1"/>
  <c r="F18" i="5"/>
  <c r="H18" i="5" s="1"/>
  <c r="D8" i="5" s="1"/>
  <c r="G8" i="5" s="1"/>
  <c r="H8" i="5" s="1"/>
  <c r="G17" i="5"/>
  <c r="C28" i="1" l="1"/>
  <c r="A29" i="1"/>
  <c r="E28" i="1"/>
  <c r="B28" i="1"/>
  <c r="D28" i="1" s="1"/>
  <c r="A14" i="5"/>
  <c r="B14" i="5" s="1"/>
  <c r="E14" i="5" s="1"/>
  <c r="H14" i="5" s="1"/>
  <c r="B13" i="5"/>
  <c r="E13" i="5" s="1"/>
  <c r="H13" i="5" s="1"/>
  <c r="C9" i="9"/>
  <c r="E15" i="9"/>
  <c r="E18" i="9"/>
  <c r="E14" i="9"/>
  <c r="D5" i="9"/>
  <c r="D8" i="9" s="1"/>
  <c r="E17" i="9"/>
  <c r="D4" i="9"/>
  <c r="E16" i="9"/>
  <c r="H12" i="5"/>
  <c r="M9" i="5"/>
  <c r="C9" i="5" s="1"/>
  <c r="F9" i="5" s="1"/>
  <c r="H9" i="5" s="1"/>
  <c r="C10" i="5"/>
  <c r="F10" i="5" s="1"/>
  <c r="H10" i="5" s="1"/>
  <c r="G23" i="5"/>
  <c r="G19" i="5"/>
  <c r="G20" i="5"/>
  <c r="G21" i="5"/>
  <c r="G22" i="5"/>
  <c r="G18" i="5"/>
  <c r="A15" i="7"/>
  <c r="B14" i="7"/>
  <c r="C14" i="7" s="1"/>
  <c r="F14" i="7" s="1"/>
  <c r="E14" i="7"/>
  <c r="D14" i="7"/>
  <c r="B15" i="7" l="1"/>
  <c r="C15" i="7" s="1"/>
  <c r="F15" i="7" s="1"/>
  <c r="A16" i="7"/>
  <c r="E15" i="7"/>
  <c r="D15" i="7"/>
  <c r="D9" i="9"/>
  <c r="C10" i="9"/>
  <c r="A30" i="1"/>
  <c r="E29" i="1"/>
  <c r="C29" i="1"/>
  <c r="B29" i="1"/>
  <c r="D29" i="1" s="1"/>
  <c r="C11" i="9" l="1"/>
  <c r="D10" i="9"/>
  <c r="A17" i="7"/>
  <c r="C16" i="7"/>
  <c r="D16" i="7"/>
  <c r="E16" i="7"/>
  <c r="B16" i="7"/>
  <c r="A31" i="1"/>
  <c r="E30" i="1"/>
  <c r="C30" i="1"/>
  <c r="B30" i="1"/>
  <c r="D11" i="9" l="1"/>
  <c r="C12" i="9"/>
  <c r="E31" i="1"/>
  <c r="C31" i="1"/>
  <c r="A32" i="1"/>
  <c r="B31" i="1"/>
  <c r="D31" i="1" s="1"/>
  <c r="D30" i="1"/>
  <c r="A18" i="7"/>
  <c r="B17" i="7"/>
  <c r="C17" i="7"/>
  <c r="F17" i="7" s="1"/>
  <c r="E17" i="7"/>
  <c r="D17" i="7"/>
  <c r="F16" i="7"/>
  <c r="C32" i="1" l="1"/>
  <c r="A33" i="1"/>
  <c r="E32" i="1"/>
  <c r="B32" i="1"/>
  <c r="E18" i="7"/>
  <c r="B18" i="7"/>
  <c r="C18" i="7" s="1"/>
  <c r="F18" i="7" s="1"/>
  <c r="A19" i="7"/>
  <c r="D18" i="7"/>
  <c r="C13" i="9"/>
  <c r="D12" i="9"/>
  <c r="B19" i="7" l="1"/>
  <c r="C19" i="7" s="1"/>
  <c r="F19" i="7" s="1"/>
  <c r="E19" i="7"/>
  <c r="D19" i="7"/>
  <c r="C33" i="1"/>
  <c r="E33" i="1"/>
  <c r="B33" i="1"/>
  <c r="D33" i="1" s="1"/>
  <c r="D32" i="1"/>
  <c r="D13" i="9"/>
  <c r="C14" i="9"/>
  <c r="C15" i="9" l="1"/>
  <c r="D14" i="9"/>
  <c r="C16" i="9" l="1"/>
  <c r="D15" i="9"/>
  <c r="C17" i="9" l="1"/>
  <c r="D16" i="9"/>
  <c r="D17" i="9" l="1"/>
  <c r="C18" i="9"/>
  <c r="C19" i="9" l="1"/>
  <c r="D18" i="9"/>
  <c r="D19" i="9" l="1"/>
  <c r="C20" i="9"/>
  <c r="D20" i="9" s="1"/>
  <c r="D6" i="9" l="1"/>
</calcChain>
</file>

<file path=xl/sharedStrings.xml><?xml version="1.0" encoding="utf-8"?>
<sst xmlns="http://schemas.openxmlformats.org/spreadsheetml/2006/main" count="141" uniqueCount="108">
  <si>
    <t>Inventory management (course notes, Kaufmann)</t>
  </si>
  <si>
    <r>
      <t>N</t>
    </r>
    <r>
      <rPr>
        <sz val="10"/>
        <rFont val="Times New Roman"/>
        <family val="1"/>
      </rPr>
      <t xml:space="preserve"> =</t>
    </r>
  </si>
  <si>
    <r>
      <t>q</t>
    </r>
    <r>
      <rPr>
        <sz val="10"/>
        <rFont val="Times New Roman"/>
        <family val="1"/>
      </rPr>
      <t xml:space="preserve"> =</t>
    </r>
  </si>
  <si>
    <t>d</t>
  </si>
  <si>
    <r>
      <t>c</t>
    </r>
    <r>
      <rPr>
        <vertAlign val="subscript"/>
        <sz val="10"/>
        <rFont val="Times New Roman"/>
        <family val="1"/>
      </rPr>
      <t>s</t>
    </r>
    <r>
      <rPr>
        <sz val="10"/>
        <rFont val="Times New Roman"/>
        <family val="1"/>
      </rPr>
      <t xml:space="preserve"> =</t>
    </r>
  </si>
  <si>
    <t>$/d</t>
  </si>
  <si>
    <r>
      <t>c</t>
    </r>
    <r>
      <rPr>
        <vertAlign val="subscript"/>
        <sz val="10"/>
        <rFont val="Times New Roman"/>
        <family val="1"/>
      </rPr>
      <t>L</t>
    </r>
    <r>
      <rPr>
        <sz val="10"/>
        <rFont val="Times New Roman"/>
        <family val="1"/>
      </rPr>
      <t xml:space="preserve"> =</t>
    </r>
  </si>
  <si>
    <r>
      <t>n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</si>
  <si>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r>
      <t>T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</si>
  <si>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r>
      <t>d = (</t>
    </r>
    <r>
      <rPr>
        <sz val="10"/>
        <rFont val="Symbol"/>
        <family val="1"/>
        <charset val="2"/>
      </rPr>
      <t>¬</t>
    </r>
    <r>
      <rPr>
        <sz val="10"/>
        <rFont val="Arial Narrow"/>
      </rPr>
      <t xml:space="preserve"> </t>
    </r>
    <r>
      <rPr>
        <i/>
        <sz val="10"/>
        <rFont val="Arial Narrow"/>
        <family val="2"/>
      </rPr>
      <t>n</t>
    </r>
    <r>
      <rPr>
        <vertAlign val="subscript"/>
        <sz val="10"/>
        <rFont val="Arial Narrow"/>
        <family val="2"/>
      </rPr>
      <t>0</t>
    </r>
    <r>
      <rPr>
        <sz val="10"/>
        <rFont val="Arial Narrow"/>
      </rPr>
      <t>)</t>
    </r>
  </si>
  <si>
    <r>
      <t>n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>- =</t>
    </r>
  </si>
  <si>
    <r>
      <t>n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>+ =</t>
    </r>
  </si>
  <si>
    <r>
      <t>z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</si>
  <si>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t>$</t>
  </si>
  <si>
    <r>
      <t xml:space="preserve">Quantities referred to time </t>
    </r>
    <r>
      <rPr>
        <i/>
        <sz val="10"/>
        <rFont val="Symbol"/>
        <family val="1"/>
        <charset val="2"/>
      </rPr>
      <t>q</t>
    </r>
  </si>
  <si>
    <r>
      <t>r</t>
    </r>
    <r>
      <rPr>
        <sz val="10"/>
        <rFont val="Times New Roman"/>
        <family val="1"/>
      </rPr>
      <t xml:space="preserve"> =</t>
    </r>
  </si>
  <si>
    <t>kg/yr</t>
  </si>
  <si>
    <r>
      <t>c</t>
    </r>
    <r>
      <rPr>
        <vertAlign val="sub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</t>
    </r>
  </si>
  <si>
    <t>$/kg</t>
  </si>
  <si>
    <r>
      <t>A</t>
    </r>
    <r>
      <rPr>
        <sz val="10"/>
        <rFont val="Times New Roman"/>
        <family val="1"/>
      </rPr>
      <t xml:space="preserve"> =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</si>
  <si>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</t>
    </r>
  </si>
  <si>
    <t>$/yr</t>
  </si>
  <si>
    <t>$/kg-yr</t>
  </si>
  <si>
    <t>kg</t>
  </si>
  <si>
    <t>yr</t>
  </si>
  <si>
    <t>yr =</t>
  </si>
  <si>
    <t>(1 yr =</t>
  </si>
  <si>
    <t>d)</t>
  </si>
  <si>
    <r>
      <t xml:space="preserve">Purchase cost, </t>
    </r>
    <r>
      <rPr>
        <i/>
        <sz val="10"/>
        <rFont val="Arial Narrow"/>
        <family val="2"/>
      </rPr>
      <t>P</t>
    </r>
    <r>
      <rPr>
        <sz val="10"/>
        <rFont val="Arial Narrow"/>
      </rPr>
      <t xml:space="preserve"> = </t>
    </r>
    <r>
      <rPr>
        <i/>
        <sz val="10"/>
        <rFont val="Arial Narrow"/>
        <family val="2"/>
      </rPr>
      <t>N c</t>
    </r>
    <r>
      <rPr>
        <vertAlign val="subscript"/>
        <sz val="10"/>
        <rFont val="Arial Narrow"/>
        <family val="2"/>
      </rPr>
      <t>1</t>
    </r>
    <r>
      <rPr>
        <sz val="10"/>
        <rFont val="Arial Narrow"/>
      </rPr>
      <t xml:space="preserve"> =</t>
    </r>
  </si>
  <si>
    <r>
      <t>z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/ 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 xml:space="preserve"> =</t>
    </r>
  </si>
  <si>
    <t>1) Example from Kaufmann</t>
  </si>
  <si>
    <r>
      <t xml:space="preserve">2) Example from Tavares </t>
    </r>
    <r>
      <rPr>
        <b/>
        <i/>
        <sz val="10"/>
        <rFont val="Arial Narrow"/>
        <family val="2"/>
      </rPr>
      <t>et al.</t>
    </r>
  </si>
  <si>
    <t>Sensitivity</t>
  </si>
  <si>
    <t>n</t>
  </si>
  <si>
    <t>z</t>
  </si>
  <si>
    <r>
      <t>(</t>
    </r>
    <r>
      <rPr>
        <i/>
        <sz val="10"/>
        <rFont val="Symbol"/>
        <family val="1"/>
        <charset val="2"/>
      </rPr>
      <t>q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s</t>
    </r>
    <r>
      <rPr>
        <sz val="10"/>
        <rFont val="Times New Roman"/>
        <family val="1"/>
      </rPr>
      <t>/2)</t>
    </r>
    <r>
      <rPr>
        <i/>
        <sz val="10"/>
        <rFont val="Times New Roman"/>
        <family val="1"/>
      </rPr>
      <t>n</t>
    </r>
  </si>
  <si>
    <r>
      <t>N c</t>
    </r>
    <r>
      <rPr>
        <vertAlign val="subscript"/>
        <sz val="10"/>
        <rFont val="Times New Roman"/>
        <family val="1"/>
      </rPr>
      <t>L</t>
    </r>
    <r>
      <rPr>
        <i/>
        <sz val="10"/>
        <rFont val="Times New Roman"/>
        <family val="1"/>
      </rPr>
      <t xml:space="preserve"> / n</t>
    </r>
  </si>
  <si>
    <r>
      <t>T</t>
    </r>
    <r>
      <rPr>
        <sz val="10"/>
        <rFont val="Times New Roman"/>
        <family val="1"/>
      </rPr>
      <t xml:space="preserve"> (d)</t>
    </r>
  </si>
  <si>
    <r>
      <t xml:space="preserve">Possibly, </t>
    </r>
    <r>
      <rPr>
        <i/>
        <sz val="10"/>
        <rFont val="Times New Roman"/>
        <family val="1"/>
      </rPr>
      <t>T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</si>
  <si>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r>
      <t>D</t>
    </r>
    <r>
      <rPr>
        <i/>
        <sz val="10"/>
        <rFont val="Times New Roman"/>
        <family val="1"/>
      </rPr>
      <t>z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</si>
  <si>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t>loss</t>
  </si>
  <si>
    <t>Solution adopted:</t>
  </si>
  <si>
    <t>s</t>
  </si>
  <si>
    <t>r</t>
  </si>
  <si>
    <r>
      <t>p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</t>
    </r>
  </si>
  <si>
    <r>
      <t>P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</t>
    </r>
  </si>
  <si>
    <t>—</t>
  </si>
  <si>
    <t>$/M</t>
  </si>
  <si>
    <r>
      <t>c</t>
    </r>
    <r>
      <rPr>
        <vertAlign val="subscript"/>
        <sz val="10"/>
        <rFont val="Times New Roman"/>
        <family val="1"/>
      </rPr>
      <t>p</t>
    </r>
    <r>
      <rPr>
        <sz val="10"/>
        <rFont val="Times New Roman"/>
        <family val="1"/>
      </rPr>
      <t xml:space="preserve"> =</t>
    </r>
  </si>
  <si>
    <r>
      <t xml:space="preserve">s </t>
    </r>
    <r>
      <rPr>
        <sz val="10"/>
        <rFont val="Times New Roman"/>
        <family val="1"/>
      </rPr>
      <t xml:space="preserve"> \  </t>
    </r>
    <r>
      <rPr>
        <i/>
        <sz val="10"/>
        <rFont val="Times New Roman"/>
        <family val="1"/>
      </rPr>
      <t>r</t>
    </r>
  </si>
  <si>
    <r>
      <t>S</t>
    </r>
    <r>
      <rPr>
        <vertAlign val="subscript"/>
        <sz val="10"/>
        <rFont val="Times New Roman"/>
        <family val="1"/>
      </rPr>
      <t>1</t>
    </r>
  </si>
  <si>
    <r>
      <t>S</t>
    </r>
    <r>
      <rPr>
        <vertAlign val="subscript"/>
        <sz val="10"/>
        <rFont val="Times New Roman"/>
        <family val="1"/>
      </rPr>
      <t>2</t>
    </r>
  </si>
  <si>
    <r>
      <t>S</t>
    </r>
    <r>
      <rPr>
        <vertAlign val="subscript"/>
        <sz val="10"/>
        <rFont val="Times New Roman"/>
        <family val="1"/>
      </rPr>
      <t>3</t>
    </r>
  </si>
  <si>
    <r>
      <t>c</t>
    </r>
    <r>
      <rPr>
        <vertAlign val="subscript"/>
        <sz val="10"/>
        <rFont val="Times New Roman"/>
        <family val="1"/>
      </rPr>
      <t>s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1</t>
    </r>
  </si>
  <si>
    <r>
      <t>c</t>
    </r>
    <r>
      <rPr>
        <vertAlign val="subscript"/>
        <sz val="10"/>
        <rFont val="Times New Roman"/>
        <family val="1"/>
      </rPr>
      <t>s</t>
    </r>
    <r>
      <rPr>
        <i/>
        <sz val="10"/>
        <rFont val="Times New Roman"/>
        <family val="1"/>
      </rPr>
      <t>s</t>
    </r>
    <r>
      <rPr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/2</t>
    </r>
  </si>
  <si>
    <r>
      <t>c</t>
    </r>
    <r>
      <rPr>
        <vertAlign val="subscript"/>
        <sz val="10"/>
        <rFont val="Times New Roman"/>
        <family val="1"/>
      </rPr>
      <t>p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/2</t>
    </r>
  </si>
  <si>
    <r>
      <t>S[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)]</t>
    </r>
  </si>
  <si>
    <r>
      <t>S'[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)/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]</t>
    </r>
  </si>
  <si>
    <t>2.9 .11 Armz. + penúria</t>
  </si>
  <si>
    <t>0,01, 0,01, 0,01) the minimum would</t>
  </si>
  <si>
    <r>
      <rPr>
        <b/>
        <i/>
        <sz val="10"/>
        <rFont val="Arial Narrow"/>
        <family val="2"/>
      </rPr>
      <t>NB:</t>
    </r>
    <r>
      <rPr>
        <sz val="10"/>
        <rFont val="Arial Narrow"/>
        <family val="2"/>
      </rPr>
      <t xml:space="preserve"> With the "original" probabilities (0,90, 0,05, 0,02,</t>
    </r>
  </si>
  <si>
    <r>
      <t xml:space="preserve">be </t>
    </r>
    <r>
      <rPr>
        <i/>
        <sz val="10"/>
        <rFont val="Arial Narrow"/>
        <family val="2"/>
      </rPr>
      <t>z</t>
    </r>
    <r>
      <rPr>
        <sz val="10"/>
        <rFont val="Arial Narrow"/>
        <family val="2"/>
      </rPr>
      <t>(1) = 171,225.</t>
    </r>
  </si>
  <si>
    <r>
      <rPr>
        <b/>
        <i/>
        <sz val="10"/>
        <rFont val="Arial Narrow"/>
        <family val="2"/>
      </rPr>
      <t>NB:</t>
    </r>
    <r>
      <rPr>
        <sz val="10"/>
        <rFont val="Arial Narrow"/>
        <family val="2"/>
      </rPr>
      <t xml:space="preserve"> Use these probabilities.</t>
    </r>
  </si>
  <si>
    <t>C. armazenagem: holding cost</t>
  </si>
  <si>
    <t>C. penury: stockout/shortage/runout cost</t>
  </si>
  <si>
    <r>
      <t>m</t>
    </r>
    <r>
      <rPr>
        <sz val="10"/>
        <rFont val="Times New Roman"/>
        <family val="1"/>
      </rPr>
      <t xml:space="preserve">, </t>
    </r>
    <r>
      <rPr>
        <i/>
        <sz val="10"/>
        <rFont val="Symbol"/>
        <family val="1"/>
        <charset val="2"/>
      </rPr>
      <t>s</t>
    </r>
    <r>
      <rPr>
        <sz val="10"/>
        <rFont val="Times New Roman"/>
        <family val="1"/>
      </rPr>
      <t xml:space="preserve"> =</t>
    </r>
  </si>
  <si>
    <t>1/(12n)</t>
  </si>
  <si>
    <t>expon = 1024 lg 2 =</t>
  </si>
  <si>
    <t>tiny = 2^(-1022) =</t>
  </si>
  <si>
    <r>
      <t>LN[tiny.Sqrt(2</t>
    </r>
    <r>
      <rPr>
        <i/>
        <sz val="10"/>
        <rFont val="Symbol"/>
        <family val="1"/>
        <charset val="2"/>
      </rPr>
      <t>p</t>
    </r>
    <r>
      <rPr>
        <sz val="10"/>
        <rFont val="Times New Roman"/>
        <family val="1"/>
      </rPr>
      <t>)] =</t>
    </r>
  </si>
  <si>
    <r>
      <t>m</t>
    </r>
    <r>
      <rPr>
        <sz val="10"/>
        <rFont val="Times New Roman"/>
        <family val="1"/>
      </rPr>
      <t xml:space="preserve"> =</t>
    </r>
  </si>
  <si>
    <r>
      <t>(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>+1/2) ln</t>
    </r>
    <r>
      <rPr>
        <i/>
        <sz val="10"/>
        <rFont val="Times New Roman"/>
        <family val="1"/>
      </rPr>
      <t>n</t>
    </r>
  </si>
  <si>
    <r>
      <t>(1+ln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>)</t>
    </r>
    <r>
      <rPr>
        <i/>
        <sz val="10"/>
        <rFont val="Times New Roman"/>
        <family val="1"/>
      </rPr>
      <t>n</t>
    </r>
  </si>
  <si>
    <r>
      <t xml:space="preserve">= LN </t>
    </r>
    <r>
      <rPr>
        <i/>
        <sz val="10"/>
        <rFont val="Symbol"/>
        <family val="1"/>
        <charset val="2"/>
      </rPr>
      <t>m</t>
    </r>
  </si>
  <si>
    <r>
      <t>Limit = -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 xml:space="preserve"> - LN(...) =</t>
    </r>
  </si>
  <si>
    <r>
      <t xml:space="preserve">max 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 xml:space="preserve"> = -LN(...) =</t>
    </r>
  </si>
  <si>
    <r>
      <t>ln</t>
    </r>
    <r>
      <rPr>
        <i/>
        <sz val="10"/>
        <rFont val="Times New Roman"/>
        <family val="1"/>
      </rPr>
      <t>n</t>
    </r>
  </si>
  <si>
    <t>fn</t>
  </si>
  <si>
    <t>s*</t>
  </si>
  <si>
    <r>
      <t>c</t>
    </r>
    <r>
      <rPr>
        <vertAlign val="subscript"/>
        <sz val="10"/>
        <rFont val="Times New Roman"/>
        <family val="1"/>
      </rPr>
      <t>p</t>
    </r>
    <r>
      <rPr>
        <sz val="10"/>
        <rFont val="Times New Roman"/>
        <family val="1"/>
      </rPr>
      <t xml:space="preserve"> / 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s</t>
    </r>
  </si>
  <si>
    <t>May2011</t>
  </si>
  <si>
    <r>
      <t>1)</t>
    </r>
    <r>
      <rPr>
        <sz val="10"/>
        <rFont val="Arial Narrow"/>
      </rPr>
      <t xml:space="preserve"> Verify that s* depends on 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p</t>
    </r>
    <r>
      <rPr>
        <sz val="10"/>
        <rFont val="Arial Narrow"/>
      </rPr>
      <t>/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s</t>
    </r>
    <r>
      <rPr>
        <sz val="10"/>
        <rFont val="Arial Narrow"/>
      </rPr>
      <t>, not directly from the individual values.</t>
    </r>
  </si>
  <si>
    <t>TABLE 1</t>
  </si>
  <si>
    <r>
      <t>2)</t>
    </r>
    <r>
      <rPr>
        <sz val="10"/>
        <rFont val="Arial Narrow"/>
      </rPr>
      <t xml:space="preserve"> See (Table 1) how s* depends on 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p</t>
    </r>
    <r>
      <rPr>
        <sz val="10"/>
        <rFont val="Arial Narrow"/>
      </rPr>
      <t>/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s</t>
    </r>
    <r>
      <rPr>
        <sz val="10"/>
        <rFont val="Arial Narrow"/>
      </rPr>
      <t xml:space="preserve"> .</t>
    </r>
  </si>
  <si>
    <t>TABLE 2</t>
  </si>
  <si>
    <r>
      <t>3)</t>
    </r>
    <r>
      <rPr>
        <sz val="10"/>
        <rFont val="Arial Narrow"/>
      </rPr>
      <t xml:space="preserve"> Compare (Table 2) with the "homologous" Poisson (i.e., same </t>
    </r>
    <r>
      <rPr>
        <i/>
        <sz val="10"/>
        <rFont val="Symbol"/>
        <family val="1"/>
        <charset val="2"/>
      </rPr>
      <t>m</t>
    </r>
    <r>
      <rPr>
        <sz val="10"/>
        <rFont val="Arial Narrow"/>
      </rPr>
      <t>, 2,4)</t>
    </r>
  </si>
  <si>
    <t>Empirical &amp; Poisson functions</t>
  </si>
  <si>
    <r>
      <t>pe(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</t>
    </r>
  </si>
  <si>
    <r>
      <t>Poi(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)</t>
    </r>
  </si>
  <si>
    <t>Sum:</t>
  </si>
  <si>
    <r>
      <t>exp(-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>) =</t>
    </r>
  </si>
  <si>
    <r>
      <t>m</t>
    </r>
    <r>
      <rPr>
        <i/>
        <vertAlign val="superscript"/>
        <sz val="10"/>
        <rFont val="Times New Roman"/>
        <family val="1"/>
      </rPr>
      <t>r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r</t>
    </r>
    <r>
      <rPr>
        <sz val="10"/>
        <rFont val="Times New Roman"/>
        <family val="1"/>
      </rPr>
      <t>!</t>
    </r>
  </si>
  <si>
    <r>
      <t>s</t>
    </r>
    <r>
      <rPr>
        <sz val="10"/>
        <rFont val="Times New Roman"/>
        <family val="1"/>
      </rPr>
      <t xml:space="preserve"> =</t>
    </r>
  </si>
  <si>
    <t>=C-D-E</t>
  </si>
  <si>
    <t>infinity</t>
  </si>
  <si>
    <t>Use:</t>
  </si>
  <si>
    <t>http://web.ist.utl.pt/~mcasquilho/compute/or/Fx-inventoryRand.php</t>
  </si>
  <si>
    <r>
      <t xml:space="preserve">Quantities referred to time </t>
    </r>
    <r>
      <rPr>
        <i/>
        <sz val="10"/>
        <rFont val="Symbol"/>
        <family val="1"/>
        <charset val="2"/>
      </rPr>
      <t xml:space="preserve">q </t>
    </r>
    <r>
      <rPr>
        <sz val="10"/>
        <rFont val="Arial Narrow"/>
        <family val="2"/>
      </rPr>
      <t>(one year)</t>
    </r>
  </si>
  <si>
    <r>
      <rPr>
        <i/>
        <sz val="10"/>
        <rFont val="Arial Narrow"/>
        <family val="2"/>
      </rPr>
      <t>n</t>
    </r>
    <r>
      <rPr>
        <vertAlign val="subscript"/>
        <sz val="10"/>
        <rFont val="Arial Narrow"/>
        <family val="2"/>
      </rPr>
      <t>0</t>
    </r>
    <r>
      <rPr>
        <sz val="10"/>
        <rFont val="Arial Narrow"/>
        <family val="2"/>
      </rPr>
      <t xml:space="preserve"> = </t>
    </r>
    <r>
      <rPr>
        <sz val="10"/>
        <rFont val="Symbol"/>
        <family val="1"/>
        <charset val="2"/>
      </rPr>
      <t>Ö</t>
    </r>
    <r>
      <rPr>
        <sz val="10"/>
        <rFont val="Arial Narrow"/>
        <family val="2"/>
      </rPr>
      <t>(</t>
    </r>
    <r>
      <rPr>
        <i/>
        <sz val="10"/>
        <rFont val="Arial Narrow"/>
        <family val="2"/>
      </rPr>
      <t>b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</t>
    </r>
    <r>
      <rPr>
        <sz val="10"/>
        <rFont val="Arial Narrow"/>
        <family val="2"/>
      </rPr>
      <t>)</t>
    </r>
  </si>
  <si>
    <t>2.1 EOQ (Economic Order Quantity) &amp; 2.2 Numerical example</t>
  </si>
  <si>
    <r>
      <rPr>
        <i/>
        <sz val="10"/>
        <rFont val="Arial Narrow"/>
        <family val="2"/>
      </rPr>
      <t>a</t>
    </r>
    <r>
      <rPr>
        <sz val="10"/>
        <rFont val="Arial Narrow"/>
        <family val="2"/>
      </rPr>
      <t xml:space="preserve"> = </t>
    </r>
    <r>
      <rPr>
        <i/>
        <sz val="10"/>
        <rFont val="Symbol"/>
        <family val="1"/>
        <charset val="2"/>
      </rPr>
      <t>q</t>
    </r>
    <r>
      <rPr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S</t>
    </r>
    <r>
      <rPr>
        <sz val="10"/>
        <rFont val="Arial Narrow"/>
        <family val="2"/>
      </rPr>
      <t xml:space="preserve"> / 2 [$]</t>
    </r>
  </si>
  <si>
    <r>
      <rPr>
        <i/>
        <sz val="10"/>
        <rFont val="Arial Narrow"/>
        <family val="2"/>
      </rPr>
      <t>b</t>
    </r>
    <r>
      <rPr>
        <sz val="10"/>
        <rFont val="Arial Narrow"/>
        <family val="2"/>
      </rPr>
      <t xml:space="preserve"> = </t>
    </r>
    <r>
      <rPr>
        <i/>
        <sz val="10"/>
        <rFont val="Arial Narrow"/>
        <family val="2"/>
      </rPr>
      <t>N</t>
    </r>
    <r>
      <rPr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c</t>
    </r>
    <r>
      <rPr>
        <vertAlign val="subscript"/>
        <sz val="10"/>
        <rFont val="Arial Narrow"/>
        <family val="2"/>
      </rPr>
      <t>L</t>
    </r>
    <r>
      <rPr>
        <sz val="10"/>
        <rFont val="Arial Narrow"/>
        <family val="2"/>
      </rPr>
      <t xml:space="preserve">   [$]</t>
    </r>
  </si>
  <si>
    <r>
      <rPr>
        <i/>
        <sz val="10"/>
        <rFont val="Times New Roman"/>
        <family val="1"/>
      </rPr>
      <t>T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 (</t>
    </r>
    <r>
      <rPr>
        <i/>
        <sz val="10"/>
        <rFont val="Symbol"/>
        <family val="1"/>
        <charset val="2"/>
      </rPr>
      <t>q</t>
    </r>
    <r>
      <rPr>
        <sz val="10"/>
        <rFont val="Times New Roman"/>
        <family val="1"/>
      </rPr>
      <t xml:space="preserve"> / 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 xml:space="preserve">) </t>
    </r>
    <r>
      <rPr>
        <i/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=</t>
    </r>
  </si>
  <si>
    <r>
      <t>= 2</t>
    </r>
    <r>
      <rPr>
        <sz val="9"/>
        <rFont val="Symbol"/>
        <family val="1"/>
        <charset val="2"/>
      </rPr>
      <t>Ö</t>
    </r>
    <r>
      <rPr>
        <sz val="9"/>
        <rFont val="Times New Roman"/>
        <family val="1"/>
      </rPr>
      <t>(</t>
    </r>
    <r>
      <rPr>
        <i/>
        <sz val="9"/>
        <rFont val="Times New Roman"/>
        <family val="1"/>
      </rPr>
      <t>ab</t>
    </r>
    <r>
      <rPr>
        <sz val="9"/>
        <rFont val="Times New Roman"/>
        <family val="1"/>
      </rPr>
      <t>) =</t>
    </r>
  </si>
  <si>
    <t>See the correspondence to Tavares</t>
  </si>
  <si>
    <r>
      <t xml:space="preserve">(kg) </t>
    </r>
    <r>
      <rPr>
        <i/>
        <sz val="10"/>
        <rFont val="Arial Narrow"/>
        <family val="2"/>
      </rPr>
      <t>i.e.</t>
    </r>
    <r>
      <rPr>
        <sz val="10"/>
        <rFont val="Arial Narrow"/>
        <family val="2"/>
      </rPr>
      <t>, "units"</t>
    </r>
  </si>
  <si>
    <r>
      <t xml:space="preserve">"yr", year (no standard </t>
    </r>
    <r>
      <rPr>
        <i/>
        <sz val="10"/>
        <rFont val="Arial Narrow"/>
        <family val="2"/>
      </rPr>
      <t>symbol</t>
    </r>
    <r>
      <rPr>
        <sz val="10"/>
        <rFont val="Arial Narrow"/>
        <family val="2"/>
      </rPr>
      <t xml:space="preserve"> or </t>
    </r>
    <r>
      <rPr>
        <i/>
        <sz val="10"/>
        <rFont val="Arial Narrow"/>
        <family val="2"/>
      </rPr>
      <t>name</t>
    </r>
    <r>
      <rPr>
        <sz val="10"/>
        <rFont val="Arial Narrow"/>
        <family val="2"/>
      </rPr>
      <t xml:space="preserve"> for it)</t>
    </r>
  </si>
  <si>
    <t>http://web.tecnico.ulisboa.pt/~mcasquilho/compute/or/Fx-inventoryRand.php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</si>
</sst>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%"/>
    <numFmt numFmtId="168" formatCode="0.00000000000000E+00"/>
    <numFmt numFmtId="169" formatCode="0.0E+00"/>
    <numFmt numFmtId="172" formatCode="yyyy/mm/dd"/>
  </numFmts>
  <fonts count="22">
    <font>
      <sz val="10"/>
      <name val="Arial Narrow"/>
    </font>
    <font>
      <sz val="10"/>
      <name val="Arial Narrow"/>
    </font>
    <font>
      <sz val="8"/>
      <name val="Arial Narrow"/>
      <family val="2"/>
    </font>
    <font>
      <b/>
      <sz val="10"/>
      <name val="Arial Narrow"/>
      <family val="2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name val="Symbol"/>
      <family val="1"/>
      <charset val="2"/>
    </font>
    <font>
      <vertAlign val="subscript"/>
      <sz val="10"/>
      <name val="Times New Roman"/>
      <family val="1"/>
    </font>
    <font>
      <b/>
      <sz val="9"/>
      <name val="Arial Narrow"/>
      <family val="2"/>
    </font>
    <font>
      <i/>
      <sz val="10"/>
      <name val="Arial Narrow"/>
      <family val="2"/>
    </font>
    <font>
      <vertAlign val="subscript"/>
      <sz val="10"/>
      <name val="Arial Narrow"/>
      <family val="2"/>
    </font>
    <font>
      <sz val="10"/>
      <name val="Symbol"/>
      <family val="1"/>
      <charset val="2"/>
    </font>
    <font>
      <b/>
      <i/>
      <sz val="10"/>
      <name val="Arial Narrow"/>
      <family val="2"/>
    </font>
    <font>
      <vertAlign val="superscript"/>
      <sz val="10"/>
      <name val="Times New Roman"/>
      <family val="1"/>
    </font>
    <font>
      <sz val="10"/>
      <name val="Arial Narrow"/>
      <family val="2"/>
    </font>
    <font>
      <sz val="12"/>
      <color indexed="8"/>
      <name val="Times New Roman"/>
      <family val="1"/>
    </font>
    <font>
      <sz val="8"/>
      <name val="Arial Narrow"/>
      <family val="2"/>
    </font>
    <font>
      <i/>
      <vertAlign val="superscript"/>
      <sz val="10"/>
      <name val="Times New Roman"/>
      <family val="1"/>
    </font>
    <font>
      <u/>
      <sz val="10"/>
      <color indexed="12"/>
      <name val="Arial Narrow"/>
      <family val="2"/>
    </font>
    <font>
      <sz val="9"/>
      <name val="Times New Roman"/>
      <family val="1"/>
    </font>
    <font>
      <sz val="9"/>
      <name val="Symbol"/>
      <family val="1"/>
      <charset val="2"/>
    </font>
    <font>
      <i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8" fillId="0" borderId="0" xfId="0" quotePrefix="1" applyFon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8" fontId="0" fillId="3" borderId="0" xfId="0" applyNumberFormat="1" applyFill="1" applyAlignment="1">
      <alignment horizontal="center"/>
    </xf>
    <xf numFmtId="0" fontId="5" fillId="0" borderId="1" xfId="0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3" xfId="0" applyBorder="1"/>
    <xf numFmtId="0" fontId="5" fillId="0" borderId="4" xfId="0" applyFont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5" xfId="0" applyBorder="1"/>
    <xf numFmtId="0" fontId="5" fillId="0" borderId="6" xfId="0" applyFont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3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11" fontId="0" fillId="2" borderId="9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1" fillId="0" borderId="0" xfId="0" applyFont="1"/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/>
    <xf numFmtId="0" fontId="0" fillId="5" borderId="11" xfId="0" applyFill="1" applyBorder="1" applyAlignment="1">
      <alignment horizontal="center"/>
    </xf>
    <xf numFmtId="0" fontId="4" fillId="5" borderId="12" xfId="0" applyFont="1" applyFill="1" applyBorder="1" applyAlignment="1">
      <alignment horizontal="right"/>
    </xf>
    <xf numFmtId="0" fontId="0" fillId="5" borderId="12" xfId="0" applyFill="1" applyBorder="1"/>
    <xf numFmtId="2" fontId="0" fillId="0" borderId="0" xfId="0" applyNumberForma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6" borderId="0" xfId="0" applyFill="1"/>
    <xf numFmtId="0" fontId="3" fillId="0" borderId="21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14" fillId="0" borderId="0" xfId="0" applyFont="1"/>
    <xf numFmtId="2" fontId="3" fillId="3" borderId="0" xfId="0" applyNumberFormat="1" applyFont="1" applyFill="1" applyAlignment="1">
      <alignment horizontal="center"/>
    </xf>
    <xf numFmtId="0" fontId="0" fillId="2" borderId="22" xfId="0" applyFill="1" applyBorder="1" applyAlignment="1">
      <alignment horizontal="center"/>
    </xf>
    <xf numFmtId="168" fontId="16" fillId="0" borderId="0" xfId="0" applyNumberFormat="1" applyFont="1"/>
    <xf numFmtId="0" fontId="4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0" quotePrefix="1" applyFont="1"/>
    <xf numFmtId="0" fontId="0" fillId="2" borderId="9" xfId="0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9" fontId="0" fillId="0" borderId="0" xfId="0" applyNumberFormat="1"/>
    <xf numFmtId="0" fontId="6" fillId="0" borderId="23" xfId="0" applyFont="1" applyBorder="1" applyAlignment="1">
      <alignment horizontal="center"/>
    </xf>
    <xf numFmtId="0" fontId="16" fillId="0" borderId="0" xfId="0" applyFont="1"/>
    <xf numFmtId="2" fontId="3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1" applyAlignment="1" applyProtection="1"/>
    <xf numFmtId="172" fontId="8" fillId="0" borderId="0" xfId="0" quotePrefix="1" applyNumberFormat="1" applyFont="1" applyAlignment="1">
      <alignment horizontal="center"/>
    </xf>
    <xf numFmtId="0" fontId="0" fillId="0" borderId="24" xfId="0" applyBorder="1"/>
    <xf numFmtId="0" fontId="0" fillId="5" borderId="25" xfId="0" applyFill="1" applyBorder="1"/>
    <xf numFmtId="0" fontId="0" fillId="4" borderId="24" xfId="0" applyFill="1" applyBorder="1"/>
    <xf numFmtId="0" fontId="14" fillId="0" borderId="0" xfId="0" applyFont="1" applyAlignment="1"/>
    <xf numFmtId="0" fontId="19" fillId="0" borderId="0" xfId="0" quotePrefix="1" applyFont="1" applyAlignment="1">
      <alignment horizontal="right"/>
    </xf>
    <xf numFmtId="0" fontId="14" fillId="0" borderId="0" xfId="0" applyFont="1" applyFill="1" applyBorder="1"/>
    <xf numFmtId="2" fontId="0" fillId="8" borderId="0" xfId="0" applyNumberFormat="1" applyFill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t-PT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Costs; period, </a:t>
            </a:r>
            <a:r>
              <a:rPr lang="pt-PT" sz="12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</a:t>
            </a:r>
            <a:r>
              <a:rPr lang="pt-PT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(days)</a:t>
            </a:r>
          </a:p>
        </c:rich>
      </c:tx>
      <c:layout>
        <c:manualLayout>
          <c:xMode val="edge"/>
          <c:yMode val="edge"/>
          <c:x val="0.36785714285714288"/>
          <c:y val="1.87667560321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7962466487935658"/>
          <c:w val="0.59464285714285714"/>
          <c:h val="0.61126005361930291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calc1!$B$22</c:f>
              <c:strCache>
                <c:ptCount val="1"/>
                <c:pt idx="0">
                  <c:v>(qcs/2)n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calc1!$A$23:$A$33</c:f>
              <c:numCache>
                <c:formatCode>General</c:formatCode>
                <c:ptCount val="1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xVal>
          <c:yVal>
            <c:numRef>
              <c:f>calc1!$B$23:$B$33</c:f>
              <c:numCache>
                <c:formatCode>0.00</c:formatCode>
                <c:ptCount val="11"/>
                <c:pt idx="0">
                  <c:v>125</c:v>
                </c:pt>
                <c:pt idx="1">
                  <c:v>137.5</c:v>
                </c:pt>
                <c:pt idx="2">
                  <c:v>150</c:v>
                </c:pt>
                <c:pt idx="3">
                  <c:v>162.5</c:v>
                </c:pt>
                <c:pt idx="4">
                  <c:v>175</c:v>
                </c:pt>
                <c:pt idx="5">
                  <c:v>187.5</c:v>
                </c:pt>
                <c:pt idx="6">
                  <c:v>200</c:v>
                </c:pt>
                <c:pt idx="7">
                  <c:v>212.5</c:v>
                </c:pt>
                <c:pt idx="8">
                  <c:v>225</c:v>
                </c:pt>
                <c:pt idx="9">
                  <c:v>237.5</c:v>
                </c:pt>
                <c:pt idx="10">
                  <c:v>250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calc1!$C$22</c:f>
              <c:strCache>
                <c:ptCount val="1"/>
                <c:pt idx="0">
                  <c:v>N cL / 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calc1!$A$23:$A$33</c:f>
              <c:numCache>
                <c:formatCode>General</c:formatCode>
                <c:ptCount val="1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xVal>
          <c:yVal>
            <c:numRef>
              <c:f>calc1!$C$23:$C$33</c:f>
              <c:numCache>
                <c:formatCode>0.00</c:formatCode>
                <c:ptCount val="11"/>
                <c:pt idx="0">
                  <c:v>360</c:v>
                </c:pt>
                <c:pt idx="1">
                  <c:v>327.27272727272725</c:v>
                </c:pt>
                <c:pt idx="2">
                  <c:v>300</c:v>
                </c:pt>
                <c:pt idx="3">
                  <c:v>276.92307692307691</c:v>
                </c:pt>
                <c:pt idx="4">
                  <c:v>257.14285714285717</c:v>
                </c:pt>
                <c:pt idx="5">
                  <c:v>240</c:v>
                </c:pt>
                <c:pt idx="6">
                  <c:v>225</c:v>
                </c:pt>
                <c:pt idx="7">
                  <c:v>211.76470588235293</c:v>
                </c:pt>
                <c:pt idx="8">
                  <c:v>200</c:v>
                </c:pt>
                <c:pt idx="9">
                  <c:v>189.47368421052633</c:v>
                </c:pt>
                <c:pt idx="10">
                  <c:v>180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calc1!$D$22</c:f>
              <c:strCache>
                <c:ptCount val="1"/>
                <c:pt idx="0">
                  <c:v>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calc1!$A$23:$A$33</c:f>
              <c:numCache>
                <c:formatCode>General</c:formatCode>
                <c:ptCount val="1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xVal>
          <c:yVal>
            <c:numRef>
              <c:f>calc1!$D$23:$D$33</c:f>
              <c:numCache>
                <c:formatCode>0.00</c:formatCode>
                <c:ptCount val="11"/>
                <c:pt idx="0">
                  <c:v>485</c:v>
                </c:pt>
                <c:pt idx="1">
                  <c:v>464.77272727272725</c:v>
                </c:pt>
                <c:pt idx="2">
                  <c:v>450</c:v>
                </c:pt>
                <c:pt idx="3">
                  <c:v>439.42307692307691</c:v>
                </c:pt>
                <c:pt idx="4">
                  <c:v>432.14285714285717</c:v>
                </c:pt>
                <c:pt idx="5">
                  <c:v>427.5</c:v>
                </c:pt>
                <c:pt idx="6">
                  <c:v>425</c:v>
                </c:pt>
                <c:pt idx="7">
                  <c:v>424.26470588235293</c:v>
                </c:pt>
                <c:pt idx="8">
                  <c:v>425</c:v>
                </c:pt>
                <c:pt idx="9">
                  <c:v>426.97368421052636</c:v>
                </c:pt>
                <c:pt idx="10">
                  <c:v>430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87120"/>
        <c:axId val="214487512"/>
      </c:scatterChart>
      <c:scatterChart>
        <c:scatterStyle val="lineMarker"/>
        <c:varyColors val="0"/>
        <c:ser>
          <c:idx val="3"/>
          <c:order val="3"/>
          <c:tx>
            <c:strRef>
              <c:f>calc1!$E$22</c:f>
              <c:strCache>
                <c:ptCount val="1"/>
                <c:pt idx="0">
                  <c:v>T (d)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t-PT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calc1!$A$23:$A$33</c:f>
              <c:numCache>
                <c:formatCode>General</c:formatCode>
                <c:ptCount val="1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xVal>
          <c:yVal>
            <c:numRef>
              <c:f>calc1!$E$23:$E$33</c:f>
              <c:numCache>
                <c:formatCode>0</c:formatCode>
                <c:ptCount val="11"/>
                <c:pt idx="0">
                  <c:v>15</c:v>
                </c:pt>
                <c:pt idx="1">
                  <c:v>16.5</c:v>
                </c:pt>
                <c:pt idx="2">
                  <c:v>18</c:v>
                </c:pt>
                <c:pt idx="3">
                  <c:v>19.5</c:v>
                </c:pt>
                <c:pt idx="4">
                  <c:v>21</c:v>
                </c:pt>
                <c:pt idx="5">
                  <c:v>22.5</c:v>
                </c:pt>
                <c:pt idx="6">
                  <c:v>24</c:v>
                </c:pt>
                <c:pt idx="7">
                  <c:v>25.5</c:v>
                </c:pt>
                <c:pt idx="8">
                  <c:v>27</c:v>
                </c:pt>
                <c:pt idx="9">
                  <c:v>28.5</c:v>
                </c:pt>
                <c:pt idx="10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171072"/>
        <c:axId val="215171464"/>
      </c:scatterChart>
      <c:valAx>
        <c:axId val="214487120"/>
        <c:scaling>
          <c:orientation val="minMax"/>
          <c:max val="11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 sz="120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</a:t>
                </a:r>
                <a:r>
                  <a:rPr lang="pt-PT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, order size</a:t>
                </a:r>
              </a:p>
            </c:rich>
          </c:tx>
          <c:layout>
            <c:manualLayout>
              <c:xMode val="edge"/>
              <c:yMode val="edge"/>
              <c:x val="0.36071428571428571"/>
              <c:y val="0.89544235924932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4487512"/>
        <c:crosses val="autoZero"/>
        <c:crossBetween val="midCat"/>
        <c:majorUnit val="10"/>
      </c:valAx>
      <c:valAx>
        <c:axId val="214487512"/>
        <c:scaling>
          <c:orientation val="minMax"/>
          <c:max val="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cost, $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2627345844504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4487120"/>
        <c:crosses val="autoZero"/>
        <c:crossBetween val="midCat"/>
      </c:valAx>
      <c:valAx>
        <c:axId val="21517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71464"/>
        <c:crosses val="autoZero"/>
        <c:crossBetween val="midCat"/>
      </c:valAx>
      <c:valAx>
        <c:axId val="215171464"/>
        <c:scaling>
          <c:orientation val="minMax"/>
          <c:max val="36"/>
          <c:min val="14"/>
        </c:scaling>
        <c:delete val="0"/>
        <c:axPos val="r"/>
        <c:numFmt formatCode="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51710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5714285714286"/>
          <c:y val="0.3512064343163539"/>
          <c:w val="0.15892857142857142"/>
          <c:h val="0.2305630026809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t-PT"/>
              <a:t>Armazenagem e penúria</a:t>
            </a:r>
          </a:p>
        </c:rich>
      </c:tx>
      <c:layout>
        <c:manualLayout>
          <c:xMode val="edge"/>
          <c:yMode val="edge"/>
          <c:x val="0.34575569358178054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12422360248448"/>
          <c:y val="0.15419501133786848"/>
          <c:w val="0.78881987577639756"/>
          <c:h val="0.66893424036281179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calc9!$H$7</c:f>
              <c:strCache>
                <c:ptCount val="1"/>
                <c:pt idx="0">
                  <c:v>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calc9!$A$8:$A$14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calc9!$H$8:$H$14</c:f>
              <c:numCache>
                <c:formatCode>General</c:formatCode>
                <c:ptCount val="7"/>
                <c:pt idx="0">
                  <c:v>2400</c:v>
                </c:pt>
                <c:pt idx="1">
                  <c:v>1077.25</c:v>
                </c:pt>
                <c:pt idx="2">
                  <c:v>479</c:v>
                </c:pt>
                <c:pt idx="3">
                  <c:v>290.25000000000006</c:v>
                </c:pt>
                <c:pt idx="4">
                  <c:v>301.00000000000006</c:v>
                </c:pt>
                <c:pt idx="5">
                  <c:v>380</c:v>
                </c:pt>
                <c:pt idx="6">
                  <c:v>480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172640"/>
        <c:axId val="215173032"/>
      </c:scatterChart>
      <c:valAx>
        <c:axId val="21517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z</a:t>
                </a:r>
              </a:p>
            </c:rich>
          </c:tx>
          <c:layout>
            <c:manualLayout>
              <c:xMode val="edge"/>
              <c:yMode val="edge"/>
              <c:x val="0.77846790890269146"/>
              <c:y val="0.87528344671201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5173032"/>
        <c:crosses val="autoZero"/>
        <c:crossBetween val="midCat"/>
      </c:valAx>
      <c:valAx>
        <c:axId val="215173032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s</a:t>
                </a:r>
              </a:p>
            </c:rich>
          </c:tx>
          <c:layout>
            <c:manualLayout>
              <c:xMode val="edge"/>
              <c:yMode val="edge"/>
              <c:x val="6.0041407867494824E-2"/>
              <c:y val="0.17233560090702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517264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t-PT"/>
              <a:t>Empirical &amp; Poisson</a:t>
            </a:r>
          </a:p>
        </c:rich>
      </c:tx>
      <c:layout>
        <c:manualLayout>
          <c:xMode val="edge"/>
          <c:yMode val="edge"/>
          <c:x val="0.23344947735191637"/>
          <c:y val="3.6101146669722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41811846689895"/>
          <c:y val="0.19855630668347157"/>
          <c:w val="0.66898954703832758"/>
          <c:h val="0.574008232048581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'empir&amp;Poi'!$B$7</c:f>
              <c:strCache>
                <c:ptCount val="1"/>
                <c:pt idx="0">
                  <c:v>pe(r)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'empir&amp;Poi'!$A$8:$A$16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'empir&amp;Poi'!$B$8:$B$16</c:f>
              <c:numCache>
                <c:formatCode>0.00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0.1</c:v>
                </c:pt>
                <c:pt idx="5">
                  <c:v>0.1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'empir&amp;Poi'!$A$8:$A$20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'empir&amp;Poi'!$D$8:$D$20</c:f>
              <c:numCache>
                <c:formatCode>General</c:formatCode>
                <c:ptCount val="13"/>
                <c:pt idx="0">
                  <c:v>9.0717953289412512E-2</c:v>
                </c:pt>
                <c:pt idx="1">
                  <c:v>0.21772308789459002</c:v>
                </c:pt>
                <c:pt idx="2">
                  <c:v>0.26126770547350803</c:v>
                </c:pt>
                <c:pt idx="3">
                  <c:v>0.20901416437880641</c:v>
                </c:pt>
                <c:pt idx="4">
                  <c:v>0.12540849862728384</c:v>
                </c:pt>
                <c:pt idx="5">
                  <c:v>6.0196079341096241E-2</c:v>
                </c:pt>
                <c:pt idx="6">
                  <c:v>2.4078431736438498E-2</c:v>
                </c:pt>
                <c:pt idx="7">
                  <c:v>8.2554623096360562E-3</c:v>
                </c:pt>
                <c:pt idx="8">
                  <c:v>2.476638692890817E-3</c:v>
                </c:pt>
                <c:pt idx="9">
                  <c:v>6.6043698477088444E-4</c:v>
                </c:pt>
                <c:pt idx="10">
                  <c:v>1.5850487634501228E-4</c:v>
                </c:pt>
                <c:pt idx="11">
                  <c:v>3.4582882111639039E-5</c:v>
                </c:pt>
                <c:pt idx="12">
                  <c:v>6.916576422327807E-6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85552"/>
        <c:axId val="214485944"/>
      </c:scatterChart>
      <c:valAx>
        <c:axId val="21448555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5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r</a:t>
                </a:r>
              </a:p>
            </c:rich>
          </c:tx>
          <c:layout>
            <c:manualLayout>
              <c:xMode val="edge"/>
              <c:yMode val="edge"/>
              <c:x val="0.76655052264808365"/>
              <c:y val="0.85198706140544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4485944"/>
        <c:crosses val="autoZero"/>
        <c:crossBetween val="midCat"/>
      </c:valAx>
      <c:valAx>
        <c:axId val="2144859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 sz="14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p(</a:t>
                </a:r>
                <a:r>
                  <a:rPr lang="pt-PT" sz="145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r</a:t>
                </a:r>
                <a:r>
                  <a:rPr lang="pt-PT" sz="14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7421602787456445E-2"/>
              <c:y val="0.20216642135044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4485552"/>
        <c:crosses val="autoZero"/>
        <c:crossBetween val="midCat"/>
        <c:maj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t-PT"/>
              <a:t>Order size</a:t>
            </a:r>
          </a:p>
        </c:rich>
      </c:tx>
      <c:layout>
        <c:manualLayout>
          <c:xMode val="edge"/>
          <c:yMode val="edge"/>
          <c:x val="0.32931856064320031"/>
          <c:y val="4.4000085937667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70752034513187"/>
          <c:y val="0.16800032812564086"/>
          <c:w val="0.69879792136483965"/>
          <c:h val="0.57600112500219725"/>
        </c:manualLayout>
      </c:layout>
      <c:scatterChart>
        <c:scatterStyle val="smoothMarker"/>
        <c:varyColors val="0"/>
        <c:ser>
          <c:idx val="0"/>
          <c:order val="0"/>
          <c:tx>
            <c:v>empir.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sensitivity!$A$9:$A$14</c:f>
              <c:numCache>
                <c:formatCode>General</c:formatCode>
                <c:ptCount val="6"/>
                <c:pt idx="0">
                  <c:v>0.4</c:v>
                </c:pt>
                <c:pt idx="1">
                  <c:v>1</c:v>
                </c:pt>
                <c:pt idx="2">
                  <c:v>2.1</c:v>
                </c:pt>
                <c:pt idx="3">
                  <c:v>6.3</c:v>
                </c:pt>
                <c:pt idx="4">
                  <c:v>23</c:v>
                </c:pt>
                <c:pt idx="5">
                  <c:v>99.1</c:v>
                </c:pt>
              </c:numCache>
            </c:numRef>
          </c:xVal>
          <c:yVal>
            <c:numRef>
              <c:f>sensitivity!$B$9:$B$14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1"/>
        </c:ser>
        <c:ser>
          <c:idx val="2"/>
          <c:order val="1"/>
          <c:tx>
            <c:v>Poisson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sensitivity!$D$9:$D$17</c:f>
              <c:numCache>
                <c:formatCode>General</c:formatCode>
                <c:ptCount val="9"/>
                <c:pt idx="0">
                  <c:v>0.34</c:v>
                </c:pt>
                <c:pt idx="1">
                  <c:v>1.8</c:v>
                </c:pt>
                <c:pt idx="2">
                  <c:v>5.8</c:v>
                </c:pt>
                <c:pt idx="3">
                  <c:v>17</c:v>
                </c:pt>
                <c:pt idx="4">
                  <c:v>54</c:v>
                </c:pt>
                <c:pt idx="5">
                  <c:v>184</c:v>
                </c:pt>
                <c:pt idx="6">
                  <c:v>692</c:v>
                </c:pt>
                <c:pt idx="7">
                  <c:v>2851</c:v>
                </c:pt>
                <c:pt idx="8" formatCode="0.0E+00">
                  <c:v>12000</c:v>
                </c:pt>
              </c:numCache>
            </c:numRef>
          </c:xVal>
          <c:yVal>
            <c:numRef>
              <c:f>sensitivity!$E$9:$E$17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53888"/>
        <c:axId val="212654280"/>
      </c:scatterChart>
      <c:valAx>
        <c:axId val="212653888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cp/cs</a:t>
                </a:r>
              </a:p>
            </c:rich>
          </c:tx>
          <c:layout>
            <c:manualLayout>
              <c:xMode val="edge"/>
              <c:yMode val="edge"/>
              <c:x val="0.66265320129424454"/>
              <c:y val="0.860001679690780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2654280"/>
        <c:crosses val="autoZero"/>
        <c:crossBetween val="midCat"/>
      </c:valAx>
      <c:valAx>
        <c:axId val="212654280"/>
        <c:scaling>
          <c:orientation val="minMax"/>
          <c:max val="9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PT"/>
                  <a:t>s*</a:t>
                </a:r>
              </a:p>
            </c:rich>
          </c:tx>
          <c:layout>
            <c:manualLayout>
              <c:xMode val="edge"/>
              <c:yMode val="edge"/>
              <c:x val="2.8112560054907344E-2"/>
              <c:y val="0.18000035156318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PT"/>
          </a:p>
        </c:txPr>
        <c:crossAx val="21265388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060496127071277"/>
          <c:y val="2.0000039062576296E-2"/>
          <c:w val="0.33333464065104423"/>
          <c:h val="0.17200033593815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/>
  </sheetViews>
  <pageMargins left="1.57" right="0.75" top="1" bottom="6.69" header="0.5" footer="0.5"/>
  <pageSetup paperSize="9"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2.37" right="0.75" top="1" bottom="5.98" header="0.5" footer="0.5"/>
  <pageSetup paperSize="9" orientation="portrait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</xdr:row>
          <xdr:rowOff>9525</xdr:rowOff>
        </xdr:from>
        <xdr:to>
          <xdr:col>10</xdr:col>
          <xdr:colOff>438150</xdr:colOff>
          <xdr:row>3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5327542" cy="35516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0</xdr:row>
          <xdr:rowOff>0</xdr:rowOff>
        </xdr:from>
        <xdr:to>
          <xdr:col>7</xdr:col>
          <xdr:colOff>0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0</xdr:rowOff>
        </xdr:from>
        <xdr:to>
          <xdr:col>9</xdr:col>
          <xdr:colOff>0</xdr:colOff>
          <xdr:row>2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0</xdr:row>
          <xdr:rowOff>0</xdr:rowOff>
        </xdr:from>
        <xdr:to>
          <xdr:col>12</xdr:col>
          <xdr:colOff>0</xdr:colOff>
          <xdr:row>2</xdr:row>
          <xdr:rowOff>95250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4591050" cy="42100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0</xdr:rowOff>
    </xdr:from>
    <xdr:to>
      <xdr:col>10</xdr:col>
      <xdr:colOff>457200</xdr:colOff>
      <xdr:row>15</xdr:row>
      <xdr:rowOff>95250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0</xdr:rowOff>
    </xdr:from>
    <xdr:to>
      <xdr:col>10</xdr:col>
      <xdr:colOff>438150</xdr:colOff>
      <xdr:row>13</xdr:row>
      <xdr:rowOff>152400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eb.tecnico.ulisboa.pt/~mcasquilho/compute/or/Fx-inventoryRand.php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eb.ist.utl.pt/~mcasquilho/compute/or/Fx-inventoryRan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/>
  </sheetViews>
  <sheetFormatPr defaultRowHeight="12.75"/>
  <sheetData>
    <row r="1" spans="1:11" ht="15.75">
      <c r="A1" s="84">
        <v>41781</v>
      </c>
      <c r="C1" s="1" t="s">
        <v>0</v>
      </c>
      <c r="H1" s="88" t="s">
        <v>100</v>
      </c>
      <c r="J1" s="88" t="s">
        <v>98</v>
      </c>
    </row>
    <row r="2" spans="1:11" ht="15.75">
      <c r="B2" s="1" t="s">
        <v>99</v>
      </c>
      <c r="H2" s="88" t="s">
        <v>101</v>
      </c>
      <c r="K2" s="85"/>
    </row>
    <row r="3" spans="1:11">
      <c r="A3" s="1" t="s">
        <v>30</v>
      </c>
      <c r="K3" s="85"/>
    </row>
    <row r="4" spans="1:11">
      <c r="A4" s="2" t="s">
        <v>1</v>
      </c>
      <c r="B4" s="11">
        <v>120000</v>
      </c>
      <c r="E4" s="64" t="s">
        <v>97</v>
      </c>
      <c r="K4" s="85"/>
    </row>
    <row r="5" spans="1:11" ht="15.75">
      <c r="A5" s="4" t="s">
        <v>2</v>
      </c>
      <c r="B5" s="11">
        <v>360</v>
      </c>
      <c r="C5" t="s">
        <v>3</v>
      </c>
      <c r="H5" t="s">
        <v>9</v>
      </c>
      <c r="K5" s="85"/>
    </row>
    <row r="6" spans="1:11" ht="15" thickBot="1">
      <c r="A6" s="2" t="s">
        <v>4</v>
      </c>
      <c r="B6" s="11">
        <v>3.5</v>
      </c>
      <c r="C6" t="s">
        <v>5</v>
      </c>
      <c r="D6" s="2" t="s">
        <v>10</v>
      </c>
      <c r="E6" s="8">
        <f>INT($E$7)</f>
        <v>7559</v>
      </c>
      <c r="H6" s="10">
        <f>$B$5*$E6/$B$4</f>
        <v>22.677</v>
      </c>
      <c r="I6" s="2" t="s">
        <v>12</v>
      </c>
      <c r="K6" s="85"/>
    </row>
    <row r="7" spans="1:11" ht="15" thickBot="1">
      <c r="A7" s="2" t="s">
        <v>6</v>
      </c>
      <c r="B7" s="12">
        <v>300000</v>
      </c>
      <c r="C7" s="64" t="s">
        <v>13</v>
      </c>
      <c r="D7" s="2" t="s">
        <v>7</v>
      </c>
      <c r="E7" s="6">
        <f>SQRT(2*$B$4*$B$7/($B$5*$B$6))</f>
        <v>7559.2894601845446</v>
      </c>
      <c r="G7" s="68" t="s">
        <v>102</v>
      </c>
      <c r="H7" s="10">
        <f>$B$5*$E7/$B$4</f>
        <v>22.677868380553633</v>
      </c>
      <c r="I7" s="89" t="s">
        <v>103</v>
      </c>
      <c r="J7" s="25">
        <f>SQRT(2*$B$4*$B$5*$B$6*$B$7)</f>
        <v>9524704.7198325265</v>
      </c>
      <c r="K7" s="85" t="s">
        <v>13</v>
      </c>
    </row>
    <row r="8" spans="1:11" ht="14.25">
      <c r="D8" s="2" t="s">
        <v>11</v>
      </c>
      <c r="E8" s="8">
        <f>INT($E$7)+1</f>
        <v>7560</v>
      </c>
      <c r="H8" s="10">
        <f>$B$5*$E8/$B$4</f>
        <v>22.68</v>
      </c>
      <c r="K8" s="85"/>
    </row>
    <row r="9" spans="1:11">
      <c r="D9" s="2"/>
      <c r="E9" s="8"/>
      <c r="K9" s="85"/>
    </row>
    <row r="10" spans="1:11" ht="13.5" thickBot="1">
      <c r="A10" s="1" t="s">
        <v>31</v>
      </c>
      <c r="K10" s="85"/>
    </row>
    <row r="11" spans="1:11">
      <c r="A11" s="13" t="s">
        <v>15</v>
      </c>
      <c r="B11" s="14">
        <v>1200</v>
      </c>
      <c r="C11" s="15" t="s">
        <v>16</v>
      </c>
      <c r="D11" s="64" t="s">
        <v>106</v>
      </c>
      <c r="K11" s="85"/>
    </row>
    <row r="12" spans="1:11" ht="14.25">
      <c r="A12" s="16" t="s">
        <v>17</v>
      </c>
      <c r="B12" s="17">
        <v>20</v>
      </c>
      <c r="C12" s="18" t="s">
        <v>18</v>
      </c>
      <c r="K12" s="85"/>
    </row>
    <row r="13" spans="1:11">
      <c r="A13" s="16" t="s">
        <v>19</v>
      </c>
      <c r="B13" s="17">
        <v>15</v>
      </c>
      <c r="C13" s="18" t="s">
        <v>13</v>
      </c>
      <c r="K13" s="85"/>
    </row>
    <row r="14" spans="1:11" ht="15" thickBot="1">
      <c r="A14" s="19" t="s">
        <v>20</v>
      </c>
      <c r="B14" s="20">
        <f>0.25*$B$12</f>
        <v>5</v>
      </c>
      <c r="C14" s="21" t="s">
        <v>22</v>
      </c>
      <c r="K14" s="85"/>
    </row>
    <row r="15" spans="1:11">
      <c r="A15" s="2" t="s">
        <v>1</v>
      </c>
      <c r="B15" s="11">
        <v>1200</v>
      </c>
      <c r="C15" s="90" t="s">
        <v>105</v>
      </c>
      <c r="E15" s="29" t="s">
        <v>14</v>
      </c>
      <c r="K15" s="85"/>
    </row>
    <row r="16" spans="1:11">
      <c r="A16" s="4" t="s">
        <v>2</v>
      </c>
      <c r="B16" s="11">
        <v>1</v>
      </c>
      <c r="C16" t="s">
        <v>24</v>
      </c>
      <c r="E16" s="64" t="s">
        <v>104</v>
      </c>
      <c r="K16" s="85"/>
    </row>
    <row r="17" spans="1:11" ht="14.25">
      <c r="A17" s="2" t="s">
        <v>4</v>
      </c>
      <c r="B17" s="11">
        <f>$B$14</f>
        <v>5</v>
      </c>
      <c r="C17" t="s">
        <v>21</v>
      </c>
      <c r="I17" s="24" t="s">
        <v>26</v>
      </c>
      <c r="J17" s="3">
        <v>360</v>
      </c>
      <c r="K17" s="85" t="s">
        <v>27</v>
      </c>
    </row>
    <row r="18" spans="1:11" ht="15" thickBot="1">
      <c r="A18" s="2" t="s">
        <v>6</v>
      </c>
      <c r="B18" s="22">
        <f>$B$13</f>
        <v>15</v>
      </c>
      <c r="C18" t="s">
        <v>13</v>
      </c>
      <c r="D18" s="2" t="s">
        <v>7</v>
      </c>
      <c r="E18" s="6">
        <f>SQRT(2*($B$15*$B$18)/($B$16*$B$17))</f>
        <v>84.852813742385706</v>
      </c>
      <c r="F18" t="s">
        <v>23</v>
      </c>
      <c r="G18" s="2" t="s">
        <v>8</v>
      </c>
      <c r="H18" s="23">
        <f>SQRT(2*$B$16*$B$18/($B$15*$B$17))</f>
        <v>7.0710678118654752E-2</v>
      </c>
      <c r="I18" t="s">
        <v>25</v>
      </c>
      <c r="J18" s="6">
        <f>$H$18*360</f>
        <v>25.45584412271571</v>
      </c>
      <c r="K18" s="85" t="s">
        <v>3</v>
      </c>
    </row>
    <row r="19" spans="1:11" ht="15" thickBot="1">
      <c r="I19" s="2" t="s">
        <v>12</v>
      </c>
      <c r="J19" s="26">
        <f>SQRT(2*$B$15*$B$16*$B$17*$B$18)</f>
        <v>424.26406871192853</v>
      </c>
      <c r="K19" s="85" t="s">
        <v>13</v>
      </c>
    </row>
    <row r="20" spans="1:11" ht="15.75">
      <c r="C20" s="24" t="s">
        <v>28</v>
      </c>
      <c r="D20" s="3">
        <f>$B$11*$B$12</f>
        <v>24000</v>
      </c>
      <c r="E20" t="s">
        <v>13</v>
      </c>
      <c r="I20" s="2" t="s">
        <v>29</v>
      </c>
      <c r="J20" s="28">
        <f>$J$19/$D$20</f>
        <v>1.7677669529663688E-2</v>
      </c>
      <c r="K20" s="85"/>
    </row>
    <row r="21" spans="1:11">
      <c r="A21" s="1" t="s">
        <v>32</v>
      </c>
      <c r="G21" s="1" t="s">
        <v>41</v>
      </c>
      <c r="K21" s="85"/>
    </row>
    <row r="22" spans="1:11" ht="15" thickBot="1">
      <c r="A22" s="30" t="s">
        <v>33</v>
      </c>
      <c r="B22" s="31" t="s">
        <v>35</v>
      </c>
      <c r="C22" s="30" t="s">
        <v>36</v>
      </c>
      <c r="D22" s="30" t="s">
        <v>34</v>
      </c>
      <c r="E22" s="30" t="s">
        <v>37</v>
      </c>
      <c r="H22" s="36"/>
      <c r="I22" s="35" t="s">
        <v>38</v>
      </c>
      <c r="J22" s="34">
        <v>28</v>
      </c>
      <c r="K22" s="86" t="s">
        <v>3</v>
      </c>
    </row>
    <row r="23" spans="1:11" ht="15" thickTop="1">
      <c r="A23" s="3">
        <v>50</v>
      </c>
      <c r="B23" s="5">
        <f>$B$16*$B$17/2*$A23</f>
        <v>125</v>
      </c>
      <c r="C23" s="5">
        <f>$B$15*$B$18/$A23</f>
        <v>360</v>
      </c>
      <c r="D23" s="5">
        <f>$B23+$C23</f>
        <v>485</v>
      </c>
      <c r="E23" s="32">
        <f>$B$16*$A23/$B$15*$J$17</f>
        <v>15</v>
      </c>
      <c r="I23" s="2" t="s">
        <v>7</v>
      </c>
      <c r="J23" s="37">
        <f>$B$15*$J$22/$J$17/$B$16</f>
        <v>93.333333333333329</v>
      </c>
      <c r="K23" s="85" t="s">
        <v>23</v>
      </c>
    </row>
    <row r="24" spans="1:11" ht="14.25">
      <c r="A24" s="3">
        <f>A23+5</f>
        <v>55</v>
      </c>
      <c r="B24" s="5">
        <f t="shared" ref="B24:B33" si="0">$B$16*$B$17/2*$A24</f>
        <v>137.5</v>
      </c>
      <c r="C24" s="5">
        <f t="shared" ref="C24:C33" si="1">$B$15*$B$18/$A24</f>
        <v>327.27272727272725</v>
      </c>
      <c r="D24" s="5">
        <f t="shared" ref="D24:D33" si="2">$B24+$C24</f>
        <v>464.77272727272725</v>
      </c>
      <c r="E24" s="32">
        <f t="shared" ref="E24:E33" si="3">$B$16*$A24/$B$15*$J$17</f>
        <v>16.5</v>
      </c>
      <c r="I24" s="2" t="s">
        <v>12</v>
      </c>
      <c r="J24" s="91">
        <f>$B$15*$B$18/$J$23+$B$16*$B$17/2*$J$23</f>
        <v>426.19047619047615</v>
      </c>
      <c r="K24" s="85" t="s">
        <v>13</v>
      </c>
    </row>
    <row r="25" spans="1:11" ht="14.25">
      <c r="A25" s="3">
        <f t="shared" ref="A25:A33" si="4">A24+5</f>
        <v>60</v>
      </c>
      <c r="B25" s="5">
        <f t="shared" si="0"/>
        <v>150</v>
      </c>
      <c r="C25" s="5">
        <f t="shared" si="1"/>
        <v>300</v>
      </c>
      <c r="D25" s="5">
        <f t="shared" si="2"/>
        <v>450</v>
      </c>
      <c r="E25" s="32">
        <f t="shared" si="3"/>
        <v>18</v>
      </c>
      <c r="I25" s="38" t="s">
        <v>39</v>
      </c>
      <c r="J25" s="27">
        <f>($J$24-$J$19)/$J$19</f>
        <v>4.5405859713649943E-3</v>
      </c>
      <c r="K25" s="85" t="s">
        <v>40</v>
      </c>
    </row>
    <row r="26" spans="1:11">
      <c r="A26" s="3">
        <f t="shared" si="4"/>
        <v>65</v>
      </c>
      <c r="B26" s="5">
        <f t="shared" si="0"/>
        <v>162.5</v>
      </c>
      <c r="C26" s="5">
        <f t="shared" si="1"/>
        <v>276.92307692307691</v>
      </c>
      <c r="D26" s="5">
        <f t="shared" si="2"/>
        <v>439.42307692307691</v>
      </c>
      <c r="E26" s="32">
        <f t="shared" si="3"/>
        <v>19.5</v>
      </c>
      <c r="K26" s="85"/>
    </row>
    <row r="27" spans="1:11">
      <c r="A27" s="3">
        <f t="shared" si="4"/>
        <v>70</v>
      </c>
      <c r="B27" s="5">
        <f t="shared" si="0"/>
        <v>175</v>
      </c>
      <c r="C27" s="5">
        <f t="shared" si="1"/>
        <v>257.14285714285717</v>
      </c>
      <c r="D27" s="5">
        <f t="shared" si="2"/>
        <v>432.14285714285717</v>
      </c>
      <c r="E27" s="32">
        <f t="shared" si="3"/>
        <v>21</v>
      </c>
      <c r="K27" s="85"/>
    </row>
    <row r="28" spans="1:11">
      <c r="A28" s="3">
        <f t="shared" si="4"/>
        <v>75</v>
      </c>
      <c r="B28" s="5">
        <f t="shared" si="0"/>
        <v>187.5</v>
      </c>
      <c r="C28" s="5">
        <f t="shared" si="1"/>
        <v>240</v>
      </c>
      <c r="D28" s="5">
        <f t="shared" si="2"/>
        <v>427.5</v>
      </c>
      <c r="E28" s="32">
        <f t="shared" si="3"/>
        <v>22.5</v>
      </c>
      <c r="K28" s="85"/>
    </row>
    <row r="29" spans="1:11">
      <c r="A29" s="3">
        <f t="shared" si="4"/>
        <v>80</v>
      </c>
      <c r="B29" s="5">
        <f t="shared" si="0"/>
        <v>200</v>
      </c>
      <c r="C29" s="5">
        <f t="shared" si="1"/>
        <v>225</v>
      </c>
      <c r="D29" s="5">
        <f t="shared" si="2"/>
        <v>425</v>
      </c>
      <c r="E29" s="32">
        <f t="shared" si="3"/>
        <v>24</v>
      </c>
      <c r="K29" s="85"/>
    </row>
    <row r="30" spans="1:11">
      <c r="A30" s="3">
        <f t="shared" si="4"/>
        <v>85</v>
      </c>
      <c r="B30" s="5">
        <f t="shared" si="0"/>
        <v>212.5</v>
      </c>
      <c r="C30" s="5">
        <f t="shared" si="1"/>
        <v>211.76470588235293</v>
      </c>
      <c r="D30" s="5">
        <f t="shared" si="2"/>
        <v>424.26470588235293</v>
      </c>
      <c r="E30" s="32">
        <f t="shared" si="3"/>
        <v>25.5</v>
      </c>
      <c r="K30" s="85"/>
    </row>
    <row r="31" spans="1:11">
      <c r="A31" s="3">
        <f t="shared" si="4"/>
        <v>90</v>
      </c>
      <c r="B31" s="5">
        <f t="shared" si="0"/>
        <v>225</v>
      </c>
      <c r="C31" s="5">
        <f t="shared" si="1"/>
        <v>200</v>
      </c>
      <c r="D31" s="5">
        <f t="shared" si="2"/>
        <v>425</v>
      </c>
      <c r="E31" s="32">
        <f t="shared" si="3"/>
        <v>27</v>
      </c>
      <c r="K31" s="85"/>
    </row>
    <row r="32" spans="1:11">
      <c r="A32" s="3">
        <f t="shared" si="4"/>
        <v>95</v>
      </c>
      <c r="B32" s="5">
        <f t="shared" si="0"/>
        <v>237.5</v>
      </c>
      <c r="C32" s="5">
        <f t="shared" si="1"/>
        <v>189.47368421052633</v>
      </c>
      <c r="D32" s="5">
        <f t="shared" si="2"/>
        <v>426.97368421052636</v>
      </c>
      <c r="E32" s="32">
        <f t="shared" si="3"/>
        <v>28.5</v>
      </c>
      <c r="K32" s="85"/>
    </row>
    <row r="33" spans="1:11">
      <c r="A33" s="3">
        <f t="shared" si="4"/>
        <v>100</v>
      </c>
      <c r="B33" s="5">
        <f t="shared" si="0"/>
        <v>250</v>
      </c>
      <c r="C33" s="5">
        <f t="shared" si="1"/>
        <v>180</v>
      </c>
      <c r="D33" s="5">
        <f t="shared" si="2"/>
        <v>430</v>
      </c>
      <c r="E33" s="32">
        <f t="shared" si="3"/>
        <v>30</v>
      </c>
      <c r="K33" s="85"/>
    </row>
    <row r="34" spans="1:1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87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r:id="rId5">
            <anchor moveWithCells="1">
              <from>
                <xdr:col>9</xdr:col>
                <xdr:colOff>123825</xdr:colOff>
                <xdr:row>1</xdr:row>
                <xdr:rowOff>9525</xdr:rowOff>
              </from>
              <to>
                <xdr:col>10</xdr:col>
                <xdr:colOff>438150</xdr:colOff>
                <xdr:row>3</xdr:row>
                <xdr:rowOff>133350</xdr:rowOff>
              </to>
            </anchor>
          </objectPr>
        </oleObject>
      </mc:Choice>
      <mc:Fallback>
        <oleObject progId="Equation.3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5" sqref="F5"/>
    </sheetView>
  </sheetViews>
  <sheetFormatPr defaultColWidth="8.33203125" defaultRowHeight="12.75"/>
  <sheetData>
    <row r="1" spans="1:14" ht="13.5">
      <c r="A1" s="92" t="s">
        <v>80</v>
      </c>
      <c r="N1" s="85"/>
    </row>
    <row r="2" spans="1:14">
      <c r="A2" s="62"/>
      <c r="B2" s="1" t="s">
        <v>58</v>
      </c>
      <c r="N2" s="85"/>
    </row>
    <row r="3" spans="1:14" ht="14.25">
      <c r="A3" s="2" t="s">
        <v>4</v>
      </c>
      <c r="B3" s="11">
        <v>100</v>
      </c>
      <c r="C3" t="s">
        <v>47</v>
      </c>
      <c r="N3" s="85"/>
    </row>
    <row r="4" spans="1:14" ht="14.25">
      <c r="A4" s="2" t="s">
        <v>48</v>
      </c>
      <c r="B4" s="11">
        <f>20*$B$3</f>
        <v>2000</v>
      </c>
      <c r="C4" t="s">
        <v>47</v>
      </c>
      <c r="E4" s="4" t="s">
        <v>65</v>
      </c>
      <c r="F4" s="66">
        <f>SUMPRODUCT(I8:I14,J8:J14)</f>
        <v>2.4</v>
      </c>
      <c r="G4" s="66">
        <f>SQRT(SUMPRODUCT(I8:I14,I8:I14,J8:J14)-F4^2)</f>
        <v>1.42828568570857</v>
      </c>
      <c r="N4" s="85"/>
    </row>
    <row r="5" spans="1:14">
      <c r="A5" s="2"/>
      <c r="B5" s="11"/>
      <c r="F5" s="83" t="s">
        <v>107</v>
      </c>
      <c r="I5" s="83"/>
      <c r="N5" s="85"/>
    </row>
    <row r="6" spans="1:14" ht="14.25">
      <c r="A6" s="2"/>
      <c r="J6" s="64" t="s">
        <v>62</v>
      </c>
      <c r="L6" s="3"/>
      <c r="M6" s="43" t="s">
        <v>51</v>
      </c>
      <c r="N6" s="85"/>
    </row>
    <row r="7" spans="1:14" ht="17.25" thickBot="1">
      <c r="A7" s="30" t="s">
        <v>42</v>
      </c>
      <c r="B7" s="48" t="s">
        <v>50</v>
      </c>
      <c r="C7" s="30" t="s">
        <v>51</v>
      </c>
      <c r="D7" s="50" t="s">
        <v>52</v>
      </c>
      <c r="E7" s="48" t="s">
        <v>53</v>
      </c>
      <c r="F7" s="30" t="s">
        <v>54</v>
      </c>
      <c r="G7" s="50" t="s">
        <v>55</v>
      </c>
      <c r="H7" s="53" t="s">
        <v>34</v>
      </c>
      <c r="I7" s="39" t="s">
        <v>43</v>
      </c>
      <c r="J7" s="39" t="s">
        <v>44</v>
      </c>
      <c r="K7" s="39" t="s">
        <v>45</v>
      </c>
      <c r="L7" s="55" t="s">
        <v>56</v>
      </c>
      <c r="M7" s="55" t="s">
        <v>57</v>
      </c>
      <c r="N7" s="85"/>
    </row>
    <row r="8" spans="1:14" ht="13.5" thickTop="1">
      <c r="A8" s="45">
        <v>0</v>
      </c>
      <c r="B8" s="57">
        <v>0</v>
      </c>
      <c r="C8" s="57">
        <v>0</v>
      </c>
      <c r="D8" s="51">
        <f>H18</f>
        <v>2.4</v>
      </c>
      <c r="E8" s="49">
        <f t="shared" ref="E8:E13" si="0">$B$3*B8</f>
        <v>0</v>
      </c>
      <c r="F8" s="45">
        <v>0</v>
      </c>
      <c r="G8" s="42">
        <f>$B$4*$D8/2</f>
        <v>2400</v>
      </c>
      <c r="H8" s="93">
        <f t="shared" ref="H8:H13" si="1">$E8+$F8+$G8</f>
        <v>2400</v>
      </c>
      <c r="I8" s="11">
        <v>0</v>
      </c>
      <c r="J8" s="65">
        <v>0.1</v>
      </c>
      <c r="K8" s="3">
        <f>J8</f>
        <v>0.1</v>
      </c>
      <c r="L8" s="3">
        <f>$I8*$J8</f>
        <v>0</v>
      </c>
      <c r="M8" s="3" t="s">
        <v>46</v>
      </c>
      <c r="N8" s="85"/>
    </row>
    <row r="9" spans="1:14">
      <c r="A9" s="45">
        <f>A8+1</f>
        <v>1</v>
      </c>
      <c r="B9" s="54">
        <f t="shared" ref="B9:B13" si="2">$A9*$K9-$L9/2</f>
        <v>0.20000000000000004</v>
      </c>
      <c r="C9" s="58">
        <f>$M9</f>
        <v>0.245</v>
      </c>
      <c r="D9" s="51">
        <f>H19</f>
        <v>1.0449999999999999</v>
      </c>
      <c r="E9" s="49">
        <f t="shared" si="0"/>
        <v>20.000000000000004</v>
      </c>
      <c r="F9" s="8">
        <f>$B$3*$A9^2*$C9/2</f>
        <v>12.25</v>
      </c>
      <c r="G9" s="42">
        <f>$B$4*$D9/2</f>
        <v>1045</v>
      </c>
      <c r="H9" s="93">
        <f t="shared" si="1"/>
        <v>1077.25</v>
      </c>
      <c r="I9" s="11">
        <f t="shared" ref="I9:I14" si="3">I8+1</f>
        <v>1</v>
      </c>
      <c r="J9" s="65">
        <v>0.2</v>
      </c>
      <c r="K9" s="3">
        <f t="shared" ref="K9:K14" si="4">K8+J9</f>
        <v>0.30000000000000004</v>
      </c>
      <c r="L9" s="9">
        <f t="shared" ref="L9:L14" si="5">$L8+$I9*$J9</f>
        <v>0.2</v>
      </c>
      <c r="M9" s="9">
        <f>$M10+$J10/$I10</f>
        <v>0.245</v>
      </c>
      <c r="N9" s="85"/>
    </row>
    <row r="10" spans="1:14">
      <c r="A10" s="45">
        <f t="shared" ref="A10:A23" si="6">A9+1</f>
        <v>2</v>
      </c>
      <c r="B10" s="54">
        <f t="shared" si="2"/>
        <v>0.7</v>
      </c>
      <c r="C10" s="58">
        <f>$M10</f>
        <v>0.14499999999999999</v>
      </c>
      <c r="D10" s="51">
        <f>H20</f>
        <v>0.38</v>
      </c>
      <c r="E10" s="49">
        <f t="shared" si="0"/>
        <v>70</v>
      </c>
      <c r="F10" s="8">
        <f>$B$3*$A10^2*$C10/2</f>
        <v>28.999999999999996</v>
      </c>
      <c r="G10" s="42">
        <f>$B$4*$D10/2</f>
        <v>380</v>
      </c>
      <c r="H10" s="93">
        <f t="shared" si="1"/>
        <v>479</v>
      </c>
      <c r="I10" s="11">
        <f t="shared" si="3"/>
        <v>2</v>
      </c>
      <c r="J10" s="65">
        <v>0.2</v>
      </c>
      <c r="K10" s="3">
        <f t="shared" si="4"/>
        <v>0.5</v>
      </c>
      <c r="L10" s="9">
        <f t="shared" si="5"/>
        <v>0.60000000000000009</v>
      </c>
      <c r="M10" s="9">
        <f>$M11+$J11/$I11</f>
        <v>0.14499999999999999</v>
      </c>
      <c r="N10" s="85"/>
    </row>
    <row r="11" spans="1:14">
      <c r="A11" s="45">
        <f t="shared" si="6"/>
        <v>3</v>
      </c>
      <c r="B11" s="54">
        <f t="shared" si="2"/>
        <v>1.6500000000000004</v>
      </c>
      <c r="C11" s="58">
        <f>$M11</f>
        <v>4.4999999999999998E-2</v>
      </c>
      <c r="D11" s="51">
        <f>H21</f>
        <v>0.10500000000000001</v>
      </c>
      <c r="E11" s="49">
        <f t="shared" si="0"/>
        <v>165.00000000000003</v>
      </c>
      <c r="F11" s="8">
        <f>$B$3*$A11^2*$C11/2</f>
        <v>20.25</v>
      </c>
      <c r="G11" s="42">
        <f>$B$4*$D11/2</f>
        <v>105.00000000000001</v>
      </c>
      <c r="H11" s="93">
        <f t="shared" si="1"/>
        <v>290.25000000000006</v>
      </c>
      <c r="I11" s="11">
        <f t="shared" si="3"/>
        <v>3</v>
      </c>
      <c r="J11" s="65">
        <v>0.3</v>
      </c>
      <c r="K11" s="3">
        <f t="shared" si="4"/>
        <v>0.8</v>
      </c>
      <c r="L11" s="9">
        <f t="shared" si="5"/>
        <v>1.5</v>
      </c>
      <c r="M11" s="9">
        <f>$M12+$J12/$I12</f>
        <v>4.4999999999999998E-2</v>
      </c>
      <c r="N11" s="85"/>
    </row>
    <row r="12" spans="1:14">
      <c r="A12" s="45">
        <f t="shared" si="6"/>
        <v>4</v>
      </c>
      <c r="B12" s="54">
        <f t="shared" si="2"/>
        <v>2.6500000000000004</v>
      </c>
      <c r="C12" s="58">
        <f>$M12</f>
        <v>0.02</v>
      </c>
      <c r="D12" s="51">
        <f>H22</f>
        <v>0.02</v>
      </c>
      <c r="E12" s="49">
        <f t="shared" si="0"/>
        <v>265.00000000000006</v>
      </c>
      <c r="F12" s="8">
        <f>$B$3*$A12^2*$C12/2</f>
        <v>16</v>
      </c>
      <c r="G12" s="42">
        <f>$B$4*$D12/2</f>
        <v>20</v>
      </c>
      <c r="H12" s="93">
        <f t="shared" si="1"/>
        <v>301.00000000000006</v>
      </c>
      <c r="I12" s="11">
        <f t="shared" si="3"/>
        <v>4</v>
      </c>
      <c r="J12" s="65">
        <v>0.1</v>
      </c>
      <c r="K12" s="3">
        <f t="shared" si="4"/>
        <v>0.9</v>
      </c>
      <c r="L12" s="9">
        <f t="shared" si="5"/>
        <v>1.9</v>
      </c>
      <c r="M12" s="9">
        <f>$M13+$J13/$I13</f>
        <v>0.02</v>
      </c>
      <c r="N12" s="85"/>
    </row>
    <row r="13" spans="1:14">
      <c r="A13" s="45">
        <f t="shared" si="6"/>
        <v>5</v>
      </c>
      <c r="B13" s="54">
        <f t="shared" si="2"/>
        <v>3.8</v>
      </c>
      <c r="C13" s="59">
        <v>0</v>
      </c>
      <c r="D13" s="52">
        <v>0</v>
      </c>
      <c r="E13" s="49">
        <f t="shared" si="0"/>
        <v>380</v>
      </c>
      <c r="F13" s="47">
        <v>0</v>
      </c>
      <c r="G13" s="52">
        <v>0</v>
      </c>
      <c r="H13" s="93">
        <f t="shared" si="1"/>
        <v>380</v>
      </c>
      <c r="I13" s="11">
        <f t="shared" si="3"/>
        <v>5</v>
      </c>
      <c r="J13" s="65">
        <v>0.1</v>
      </c>
      <c r="K13" s="3">
        <f t="shared" si="4"/>
        <v>1</v>
      </c>
      <c r="L13" s="9">
        <f t="shared" si="5"/>
        <v>2.4</v>
      </c>
      <c r="M13" s="8">
        <f>$J14/$I14</f>
        <v>0</v>
      </c>
      <c r="N13" s="85"/>
    </row>
    <row r="14" spans="1:14">
      <c r="A14" s="95">
        <f t="shared" si="6"/>
        <v>6</v>
      </c>
      <c r="B14" s="54">
        <f>$A14*$K14-$L14/2</f>
        <v>4.8</v>
      </c>
      <c r="C14" s="56"/>
      <c r="D14" s="56"/>
      <c r="E14" s="49">
        <f>$B$3*B14</f>
        <v>480</v>
      </c>
      <c r="F14" s="47">
        <v>0</v>
      </c>
      <c r="G14" s="52">
        <v>0</v>
      </c>
      <c r="H14" s="94">
        <f>$E14+$F14+$G14</f>
        <v>480</v>
      </c>
      <c r="I14" s="11">
        <f t="shared" si="3"/>
        <v>6</v>
      </c>
      <c r="J14" s="11">
        <v>0</v>
      </c>
      <c r="K14" s="3">
        <f t="shared" si="4"/>
        <v>1</v>
      </c>
      <c r="L14" s="9">
        <f t="shared" si="5"/>
        <v>2.4</v>
      </c>
      <c r="M14" s="56"/>
      <c r="N14" s="85"/>
    </row>
    <row r="15" spans="1:14">
      <c r="K15" s="3"/>
      <c r="N15" s="85"/>
    </row>
    <row r="16" spans="1:14">
      <c r="A16" s="43" t="s">
        <v>44</v>
      </c>
      <c r="B16" s="44">
        <f>J9</f>
        <v>0.2</v>
      </c>
      <c r="C16" s="44">
        <f>J10</f>
        <v>0.2</v>
      </c>
      <c r="D16" s="44">
        <f>J11</f>
        <v>0.3</v>
      </c>
      <c r="E16" s="44">
        <f>J12</f>
        <v>0.1</v>
      </c>
      <c r="F16" s="44">
        <f>J13</f>
        <v>0.1</v>
      </c>
      <c r="G16" s="44">
        <f>J14</f>
        <v>0</v>
      </c>
      <c r="N16" s="85"/>
    </row>
    <row r="17" spans="1:14" ht="15" thickBot="1">
      <c r="A17" s="41" t="s">
        <v>49</v>
      </c>
      <c r="B17" s="40">
        <v>1</v>
      </c>
      <c r="C17" s="40">
        <f>B17+1</f>
        <v>2</v>
      </c>
      <c r="D17" s="40">
        <f>C17+1</f>
        <v>3</v>
      </c>
      <c r="E17" s="40">
        <f>D17+1</f>
        <v>4</v>
      </c>
      <c r="F17" s="40">
        <f>E17+1</f>
        <v>5</v>
      </c>
      <c r="G17" s="60">
        <f>F17+1</f>
        <v>6</v>
      </c>
      <c r="H17" s="30" t="s">
        <v>52</v>
      </c>
      <c r="J17" s="64" t="s">
        <v>60</v>
      </c>
      <c r="N17" s="85"/>
    </row>
    <row r="18" spans="1:14" ht="13.5" thickTop="1">
      <c r="A18" s="42">
        <v>0</v>
      </c>
      <c r="B18" s="9">
        <f>(B$17-$A18)^2*B$16/B$17</f>
        <v>0.2</v>
      </c>
      <c r="C18" s="9">
        <f>(C$17-$A18)^2*C$16/C$17</f>
        <v>0.4</v>
      </c>
      <c r="D18" s="9">
        <f>(D17-$A18)^2*D$16/D$17</f>
        <v>0.89999999999999991</v>
      </c>
      <c r="E18" s="9">
        <f>(E17-$A18)^2*E$16/E$17</f>
        <v>0.4</v>
      </c>
      <c r="F18" s="63">
        <f>(F17-$A18)^2*F$16/F$17</f>
        <v>0.5</v>
      </c>
      <c r="G18" s="61">
        <f>(G17-$A18)^2*G$16/G$17</f>
        <v>0</v>
      </c>
      <c r="H18" s="46">
        <f t="shared" ref="H18:H23" si="7">SUM(B18:F18)</f>
        <v>2.4</v>
      </c>
      <c r="K18" s="64" t="s">
        <v>59</v>
      </c>
      <c r="N18" s="85"/>
    </row>
    <row r="19" spans="1:14">
      <c r="A19" s="42">
        <f>A18+1</f>
        <v>1</v>
      </c>
      <c r="B19" s="3"/>
      <c r="C19" s="9">
        <f>(C$17-$A19)^2*C$16/C$17</f>
        <v>0.1</v>
      </c>
      <c r="D19" s="9">
        <f>(D$17-$A19)^2*D$16/D$17</f>
        <v>0.39999999999999997</v>
      </c>
      <c r="E19" s="9">
        <f>(E$17-$A19)^2*E$16/E$17</f>
        <v>0.22500000000000001</v>
      </c>
      <c r="F19" s="63">
        <f>(F$17-$A19)^2*F$16/F$17</f>
        <v>0.32</v>
      </c>
      <c r="G19" s="61">
        <f>(G$17-$A19)^2*G$16/G$17</f>
        <v>0</v>
      </c>
      <c r="H19" s="46">
        <f t="shared" si="7"/>
        <v>1.0449999999999999</v>
      </c>
      <c r="K19" s="64" t="s">
        <v>61</v>
      </c>
      <c r="N19" s="85"/>
    </row>
    <row r="20" spans="1:14">
      <c r="A20" s="42">
        <f t="shared" si="6"/>
        <v>2</v>
      </c>
      <c r="B20" s="3"/>
      <c r="C20" s="3"/>
      <c r="D20" s="9">
        <f>(D$17-$A20)^2*D$16/D$17</f>
        <v>9.9999999999999992E-2</v>
      </c>
      <c r="E20" s="9">
        <f>(E$17-$A20)^2*E$16/E$17</f>
        <v>0.1</v>
      </c>
      <c r="F20" s="63">
        <f>(F$17-$A20)^2*F$16/F$17</f>
        <v>0.18</v>
      </c>
      <c r="G20" s="61">
        <f>(G$17-$A20)^2*G$16/G$17</f>
        <v>0</v>
      </c>
      <c r="H20" s="46">
        <f t="shared" si="7"/>
        <v>0.38</v>
      </c>
      <c r="J20" s="64" t="s">
        <v>63</v>
      </c>
      <c r="N20" s="85"/>
    </row>
    <row r="21" spans="1:14">
      <c r="A21" s="42">
        <f t="shared" si="6"/>
        <v>3</v>
      </c>
      <c r="D21" s="3"/>
      <c r="E21" s="9">
        <f>(E$17-$A21)^2*E$16/E$17</f>
        <v>2.5000000000000001E-2</v>
      </c>
      <c r="F21" s="63">
        <f>(F$17-$A21)^2*F$16/F$17</f>
        <v>0.08</v>
      </c>
      <c r="G21" s="61">
        <f>(G$17-$A21)^2*G$16/G$17</f>
        <v>0</v>
      </c>
      <c r="H21" s="46">
        <f t="shared" si="7"/>
        <v>0.10500000000000001</v>
      </c>
      <c r="J21" s="64" t="s">
        <v>64</v>
      </c>
      <c r="N21" s="85"/>
    </row>
    <row r="22" spans="1:14">
      <c r="A22" s="42">
        <f t="shared" si="6"/>
        <v>4</v>
      </c>
      <c r="E22" s="3"/>
      <c r="F22" s="63">
        <f>(F$17-$A22)^2*F$16/F$17</f>
        <v>0.02</v>
      </c>
      <c r="G22" s="61">
        <f>(G$17-$A22)^2*G$16/G$17</f>
        <v>0</v>
      </c>
      <c r="H22" s="46">
        <f t="shared" si="7"/>
        <v>0.02</v>
      </c>
      <c r="N22" s="85"/>
    </row>
    <row r="23" spans="1:14">
      <c r="A23" s="42">
        <f t="shared" si="6"/>
        <v>5</v>
      </c>
      <c r="F23" s="63"/>
      <c r="G23" s="61">
        <f>(G$17-$A23)^2*G$16/G$17</f>
        <v>0</v>
      </c>
      <c r="H23" s="46">
        <f t="shared" si="7"/>
        <v>0</v>
      </c>
      <c r="N23" s="85"/>
    </row>
    <row r="24" spans="1:1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87"/>
    </row>
  </sheetData>
  <phoneticPr fontId="2" type="noConversion"/>
  <hyperlinks>
    <hyperlink ref="F5" r:id="rId1"/>
  </hyperlinks>
  <pageMargins left="0.25" right="0.25" top="0.5" bottom="0.5" header="0.25" footer="0.25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Equation.3" shapeId="1025" r:id="rId5">
          <objectPr defaultSize="0" r:id="rId6">
            <anchor moveWithCells="1">
              <from>
                <xdr:col>4</xdr:col>
                <xdr:colOff>180975</xdr:colOff>
                <xdr:row>0</xdr:row>
                <xdr:rowOff>0</xdr:rowOff>
              </from>
              <to>
                <xdr:col>7</xdr:col>
                <xdr:colOff>0</xdr:colOff>
                <xdr:row>2</xdr:row>
                <xdr:rowOff>95250</xdr:rowOff>
              </to>
            </anchor>
          </objectPr>
        </oleObject>
      </mc:Choice>
      <mc:Fallback>
        <oleObject progId="Equation.3" shapeId="1025" r:id="rId5"/>
      </mc:Fallback>
    </mc:AlternateContent>
    <mc:AlternateContent xmlns:mc="http://schemas.openxmlformats.org/markup-compatibility/2006">
      <mc:Choice Requires="x14">
        <oleObject progId="Equation.3" shapeId="1026" r:id="rId7">
          <objectPr defaultSize="0" r:id="rId8">
            <anchor moveWithCells="1">
              <from>
                <xdr:col>7</xdr:col>
                <xdr:colOff>47625</xdr:colOff>
                <xdr:row>0</xdr:row>
                <xdr:rowOff>0</xdr:rowOff>
              </from>
              <to>
                <xdr:col>9</xdr:col>
                <xdr:colOff>0</xdr:colOff>
                <xdr:row>2</xdr:row>
                <xdr:rowOff>95250</xdr:rowOff>
              </to>
            </anchor>
          </objectPr>
        </oleObject>
      </mc:Choice>
      <mc:Fallback>
        <oleObject progId="Equation.3" shapeId="1026" r:id="rId7"/>
      </mc:Fallback>
    </mc:AlternateContent>
    <mc:AlternateContent xmlns:mc="http://schemas.openxmlformats.org/markup-compatibility/2006">
      <mc:Choice Requires="x14">
        <oleObject progId="Equation.3" shapeId="1027" r:id="rId9">
          <objectPr defaultSize="0" r:id="rId10">
            <anchor moveWithCells="1">
              <from>
                <xdr:col>9</xdr:col>
                <xdr:colOff>66675</xdr:colOff>
                <xdr:row>0</xdr:row>
                <xdr:rowOff>0</xdr:rowOff>
              </from>
              <to>
                <xdr:col>12</xdr:col>
                <xdr:colOff>0</xdr:colOff>
                <xdr:row>2</xdr:row>
                <xdr:rowOff>95250</xdr:rowOff>
              </to>
            </anchor>
          </objectPr>
        </oleObject>
      </mc:Choice>
      <mc:Fallback>
        <oleObject progId="Equation.3" shapeId="1027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/>
  </sheetViews>
  <sheetFormatPr defaultRowHeight="12.75"/>
  <cols>
    <col min="1" max="4" width="9.5" bestFit="1" customWidth="1"/>
    <col min="5" max="5" width="10.1640625" bestFit="1" customWidth="1"/>
    <col min="6" max="6" width="9.33203125" customWidth="1"/>
    <col min="7" max="7" width="18.83203125" bestFit="1" customWidth="1"/>
  </cols>
  <sheetData>
    <row r="1" spans="1:7" ht="13.5">
      <c r="A1" s="7" t="s">
        <v>80</v>
      </c>
      <c r="E1" s="24" t="s">
        <v>67</v>
      </c>
      <c r="F1" s="3">
        <f>1024*LOG10(2)</f>
        <v>308.25471555991675</v>
      </c>
      <c r="G1">
        <f>10^(-F1)</f>
        <v>0</v>
      </c>
    </row>
    <row r="2" spans="1:7" ht="13.5">
      <c r="E2" s="24" t="s">
        <v>68</v>
      </c>
      <c r="G2" s="67">
        <f>2^(-1022)</f>
        <v>2.2250738585072014E-308</v>
      </c>
    </row>
    <row r="3" spans="1:7">
      <c r="E3" s="68" t="s">
        <v>69</v>
      </c>
      <c r="F3" s="3">
        <f>LN($G$2*SQRT(2*PI()))</f>
        <v>-707.47747999905948</v>
      </c>
    </row>
    <row r="4" spans="1:7">
      <c r="D4" s="68" t="s">
        <v>75</v>
      </c>
      <c r="E4" s="45">
        <f>-$F$3</f>
        <v>707.47747999905948</v>
      </c>
      <c r="F4" s="3"/>
    </row>
    <row r="5" spans="1:7" ht="13.5" thickBot="1">
      <c r="D5" s="4" t="s">
        <v>70</v>
      </c>
      <c r="E5" s="11">
        <v>2.4</v>
      </c>
      <c r="F5" s="3">
        <f>LN($E$5)</f>
        <v>0.87546873735389985</v>
      </c>
      <c r="G5" s="70" t="s">
        <v>73</v>
      </c>
    </row>
    <row r="6" spans="1:7" ht="13.5" thickBot="1">
      <c r="D6" s="68" t="s">
        <v>74</v>
      </c>
      <c r="E6" s="71">
        <f>-$E$5-$F$3</f>
        <v>705.07747999905951</v>
      </c>
    </row>
    <row r="8" spans="1:7" ht="13.5" thickBot="1">
      <c r="A8" s="72" t="s">
        <v>33</v>
      </c>
      <c r="B8" s="73" t="s">
        <v>76</v>
      </c>
      <c r="C8" s="80" t="s">
        <v>71</v>
      </c>
      <c r="D8" s="81" t="s">
        <v>72</v>
      </c>
      <c r="E8" s="81" t="s">
        <v>66</v>
      </c>
      <c r="F8" s="73" t="s">
        <v>77</v>
      </c>
      <c r="G8" t="s">
        <v>93</v>
      </c>
    </row>
    <row r="9" spans="1:7" ht="13.5" thickTop="1">
      <c r="A9" s="3">
        <v>200</v>
      </c>
      <c r="B9" s="3">
        <f>LN($A9)</f>
        <v>5.2983173665480363</v>
      </c>
      <c r="C9" s="3">
        <f>($A9+1/2)*$B9</f>
        <v>1062.3126319928813</v>
      </c>
      <c r="D9" s="3">
        <f>(1+$F$5)*$A9</f>
        <v>375.09374747077999</v>
      </c>
      <c r="E9" s="3">
        <f>1/(12*$A9)</f>
        <v>4.1666666666666669E-4</v>
      </c>
      <c r="F9" s="3">
        <f t="shared" ref="F9:F14" si="0">$C9-$D9-$E9</f>
        <v>687.2184678554346</v>
      </c>
    </row>
    <row r="10" spans="1:7">
      <c r="A10" s="3">
        <f>$A9+1</f>
        <v>201</v>
      </c>
      <c r="B10" s="3">
        <f t="shared" ref="B10:B19" si="1">LN($A10)</f>
        <v>5.3033049080590757</v>
      </c>
      <c r="C10" s="3">
        <f>($A10+1/2)*$B10</f>
        <v>1068.6159389739037</v>
      </c>
      <c r="D10" s="3">
        <f t="shared" ref="D10:D19" si="2">(1+$F$5)*$A10</f>
        <v>376.96921620813384</v>
      </c>
      <c r="E10" s="3">
        <f>1/(12*$A10)</f>
        <v>4.1459369817578774E-4</v>
      </c>
      <c r="F10" s="3">
        <f t="shared" si="0"/>
        <v>691.6463081720716</v>
      </c>
    </row>
    <row r="11" spans="1:7">
      <c r="A11" s="3">
        <f>$A10+1</f>
        <v>202</v>
      </c>
      <c r="B11" s="3">
        <f t="shared" si="1"/>
        <v>5.3082676974012051</v>
      </c>
      <c r="C11" s="3">
        <f t="shared" ref="C11:C19" si="3">($A11+1/2)*$B11</f>
        <v>1074.924208723744</v>
      </c>
      <c r="D11" s="3">
        <f t="shared" si="2"/>
        <v>378.84468494548776</v>
      </c>
      <c r="E11" s="3">
        <f t="shared" ref="E11:E19" si="4">1/(12*$A11)</f>
        <v>4.1254125412541255E-4</v>
      </c>
      <c r="F11" s="3">
        <f t="shared" si="0"/>
        <v>696.07911123700205</v>
      </c>
    </row>
    <row r="12" spans="1:7">
      <c r="A12" s="3">
        <f>$A11+1</f>
        <v>203</v>
      </c>
      <c r="B12" s="3">
        <f t="shared" si="1"/>
        <v>5.3132059790417872</v>
      </c>
      <c r="C12" s="3">
        <f t="shared" si="3"/>
        <v>1081.2374167350038</v>
      </c>
      <c r="D12" s="3">
        <f t="shared" si="2"/>
        <v>380.72015368284167</v>
      </c>
      <c r="E12" s="3">
        <f t="shared" si="4"/>
        <v>4.1050903119868636E-4</v>
      </c>
      <c r="F12" s="3">
        <f t="shared" si="0"/>
        <v>700.51685254313088</v>
      </c>
    </row>
    <row r="13" spans="1:7">
      <c r="A13" s="3">
        <f>$A12+1</f>
        <v>204</v>
      </c>
      <c r="B13" s="3">
        <f t="shared" si="1"/>
        <v>5.3181199938442161</v>
      </c>
      <c r="C13" s="3">
        <f t="shared" si="3"/>
        <v>1087.5555387411423</v>
      </c>
      <c r="D13" s="3">
        <f t="shared" si="2"/>
        <v>382.59562242019558</v>
      </c>
      <c r="E13" s="3">
        <f t="shared" si="4"/>
        <v>4.084967320261438E-4</v>
      </c>
      <c r="F13" s="3">
        <f t="shared" si="0"/>
        <v>704.95950782421471</v>
      </c>
      <c r="G13" t="s">
        <v>94</v>
      </c>
    </row>
    <row r="14" spans="1:7">
      <c r="A14" s="3">
        <f>$A13+1</f>
        <v>205</v>
      </c>
      <c r="B14" s="3">
        <f t="shared" si="1"/>
        <v>5.3230099791384085</v>
      </c>
      <c r="C14" s="3">
        <f t="shared" si="3"/>
        <v>1093.878550712943</v>
      </c>
      <c r="D14" s="3">
        <f t="shared" si="2"/>
        <v>384.47109115754949</v>
      </c>
      <c r="E14" s="3">
        <f t="shared" si="4"/>
        <v>4.0650406504065041E-4</v>
      </c>
      <c r="F14" s="3">
        <f t="shared" si="0"/>
        <v>709.40705305132849</v>
      </c>
    </row>
    <row r="15" spans="1:7">
      <c r="A15" s="3">
        <f t="shared" ref="A15:A19" si="5">$A14+1</f>
        <v>206</v>
      </c>
      <c r="B15" s="3">
        <f t="shared" si="1"/>
        <v>5.3278761687895813</v>
      </c>
      <c r="C15" s="3">
        <f t="shared" si="3"/>
        <v>1100.2064288550484</v>
      </c>
      <c r="D15" s="3">
        <f t="shared" si="2"/>
        <v>386.34655989490335</v>
      </c>
      <c r="E15" s="3">
        <f t="shared" si="4"/>
        <v>4.045307443365696E-4</v>
      </c>
      <c r="F15" s="3">
        <f t="shared" ref="F15:F19" si="6">$C15-$D15-$E15</f>
        <v>713.85946442940076</v>
      </c>
    </row>
    <row r="16" spans="1:7">
      <c r="A16" s="3">
        <f t="shared" si="5"/>
        <v>207</v>
      </c>
      <c r="B16" s="3">
        <f t="shared" si="1"/>
        <v>5.3327187932653688</v>
      </c>
      <c r="C16" s="3">
        <f t="shared" si="3"/>
        <v>1106.5391496025641</v>
      </c>
      <c r="D16" s="3">
        <f t="shared" si="2"/>
        <v>388.22202863225726</v>
      </c>
      <c r="E16" s="3">
        <f t="shared" si="4"/>
        <v>4.0257648953301127E-4</v>
      </c>
      <c r="F16" s="3">
        <f t="shared" si="6"/>
        <v>718.31671839381738</v>
      </c>
    </row>
    <row r="17" spans="1:10">
      <c r="A17" s="3">
        <f t="shared" si="5"/>
        <v>208</v>
      </c>
      <c r="B17" s="3">
        <f t="shared" si="1"/>
        <v>5.3375380797013179</v>
      </c>
      <c r="C17" s="3">
        <f t="shared" si="3"/>
        <v>1112.8766896177249</v>
      </c>
      <c r="D17" s="3">
        <f t="shared" si="2"/>
        <v>390.09749736961118</v>
      </c>
      <c r="E17" s="3">
        <f t="shared" si="4"/>
        <v>4.0064102564102563E-4</v>
      </c>
      <c r="F17" s="3">
        <f t="shared" si="6"/>
        <v>722.77879160708812</v>
      </c>
    </row>
    <row r="18" spans="1:10">
      <c r="A18" s="3">
        <f t="shared" si="5"/>
        <v>209</v>
      </c>
      <c r="B18" s="3">
        <f t="shared" si="1"/>
        <v>5.3423342519648109</v>
      </c>
      <c r="C18" s="3">
        <f t="shared" si="3"/>
        <v>1119.219025786628</v>
      </c>
      <c r="D18" s="3">
        <f t="shared" si="2"/>
        <v>391.97296610696509</v>
      </c>
      <c r="E18" s="3">
        <f t="shared" si="4"/>
        <v>3.9872408293460925E-4</v>
      </c>
      <c r="F18" s="3">
        <f t="shared" si="6"/>
        <v>727.24566095557998</v>
      </c>
    </row>
    <row r="19" spans="1:10">
      <c r="A19" s="3">
        <f t="shared" si="5"/>
        <v>210</v>
      </c>
      <c r="B19" s="3">
        <f t="shared" si="1"/>
        <v>5.3471075307174685</v>
      </c>
      <c r="C19" s="3">
        <f t="shared" si="3"/>
        <v>1125.5661352160271</v>
      </c>
      <c r="D19" s="3">
        <f t="shared" si="2"/>
        <v>393.84843484431894</v>
      </c>
      <c r="E19" s="3">
        <f t="shared" si="4"/>
        <v>3.9682539682539683E-4</v>
      </c>
      <c r="F19" s="3">
        <f t="shared" si="6"/>
        <v>731.71730354631131</v>
      </c>
    </row>
    <row r="20" spans="1:10">
      <c r="A20" s="33"/>
      <c r="B20" s="33"/>
      <c r="C20" s="33"/>
      <c r="D20" s="33"/>
      <c r="E20" s="33"/>
      <c r="F20" s="33"/>
      <c r="G20" s="33"/>
      <c r="H20" s="33"/>
      <c r="I20" s="33"/>
      <c r="J20" s="33"/>
    </row>
  </sheetData>
  <phoneticPr fontId="16" type="noConversion"/>
  <conditionalFormatting sqref="F9:F19">
    <cfRule type="cellIs" dxfId="0" priority="1" stopIfTrue="1" operator="lessThan">
      <formula>$E$6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D6" sqref="D6"/>
    </sheetView>
  </sheetViews>
  <sheetFormatPr defaultRowHeight="12.75"/>
  <sheetData>
    <row r="1" spans="1:5" ht="13.5">
      <c r="A1" s="7" t="s">
        <v>80</v>
      </c>
      <c r="C1" s="1" t="s">
        <v>86</v>
      </c>
    </row>
    <row r="2" spans="1:5" ht="13.5">
      <c r="A2" s="7"/>
      <c r="C2" s="1"/>
    </row>
    <row r="3" spans="1:5">
      <c r="C3" s="4" t="s">
        <v>70</v>
      </c>
      <c r="D3" s="69">
        <f>calc9!F4</f>
        <v>2.4</v>
      </c>
    </row>
    <row r="4" spans="1:5">
      <c r="A4" s="4" t="s">
        <v>92</v>
      </c>
      <c r="B4" s="3">
        <f>calc9!G4</f>
        <v>1.42828568570857</v>
      </c>
      <c r="C4" s="4" t="s">
        <v>92</v>
      </c>
      <c r="D4" s="3">
        <f>SQRT($D$3)</f>
        <v>1.5491933384829668</v>
      </c>
    </row>
    <row r="5" spans="1:5">
      <c r="C5" s="68" t="s">
        <v>90</v>
      </c>
      <c r="D5" s="3">
        <f>EXP(-$D$3)</f>
        <v>9.0717953289412512E-2</v>
      </c>
    </row>
    <row r="6" spans="1:5">
      <c r="A6" s="24" t="s">
        <v>89</v>
      </c>
      <c r="B6" s="78">
        <f>SUM(B8:B16)</f>
        <v>1</v>
      </c>
      <c r="D6" s="79">
        <f>SUM(D8:D23)</f>
        <v>0.99999846306331253</v>
      </c>
    </row>
    <row r="7" spans="1:5" ht="15" thickBot="1">
      <c r="A7" s="72" t="s">
        <v>43</v>
      </c>
      <c r="B7" s="73" t="s">
        <v>87</v>
      </c>
      <c r="C7" s="75" t="s">
        <v>91</v>
      </c>
      <c r="D7" s="73" t="s">
        <v>88</v>
      </c>
    </row>
    <row r="8" spans="1:5" ht="13.5" thickTop="1">
      <c r="A8" s="3">
        <v>0</v>
      </c>
      <c r="B8" s="77">
        <f>calc9!J8</f>
        <v>0.1</v>
      </c>
      <c r="C8" s="69">
        <v>1</v>
      </c>
      <c r="D8" s="3">
        <f>$C8*$D$5</f>
        <v>9.0717953289412512E-2</v>
      </c>
    </row>
    <row r="9" spans="1:5">
      <c r="A9" s="3">
        <f>$A8+1</f>
        <v>1</v>
      </c>
      <c r="B9" s="77">
        <f>calc9!J9</f>
        <v>0.2</v>
      </c>
      <c r="C9" s="3">
        <f>$C8*$D$3/$A9</f>
        <v>2.4</v>
      </c>
      <c r="D9" s="3">
        <f>$C9*$D$5</f>
        <v>0.21772308789459002</v>
      </c>
    </row>
    <row r="10" spans="1:5">
      <c r="A10" s="3">
        <f t="shared" ref="A10:A20" si="0">$A9+1</f>
        <v>2</v>
      </c>
      <c r="B10" s="77">
        <f>calc9!J10</f>
        <v>0.2</v>
      </c>
      <c r="C10" s="3">
        <f t="shared" ref="C10:C20" si="1">$C9*$D$3/$A10</f>
        <v>2.88</v>
      </c>
      <c r="D10" s="3">
        <f t="shared" ref="D10:D20" si="2">$C10*$D$5</f>
        <v>0.26126770547350803</v>
      </c>
    </row>
    <row r="11" spans="1:5">
      <c r="A11" s="3">
        <f t="shared" si="0"/>
        <v>3</v>
      </c>
      <c r="B11" s="77">
        <f>calc9!J11</f>
        <v>0.3</v>
      </c>
      <c r="C11" s="3">
        <f t="shared" si="1"/>
        <v>2.3039999999999998</v>
      </c>
      <c r="D11" s="3">
        <f t="shared" si="2"/>
        <v>0.20901416437880641</v>
      </c>
    </row>
    <row r="12" spans="1:5">
      <c r="A12" s="3">
        <f t="shared" si="0"/>
        <v>4</v>
      </c>
      <c r="B12" s="77">
        <f>calc9!J12</f>
        <v>0.1</v>
      </c>
      <c r="C12" s="3">
        <f t="shared" si="1"/>
        <v>1.3823999999999999</v>
      </c>
      <c r="D12" s="3">
        <f t="shared" si="2"/>
        <v>0.12540849862728384</v>
      </c>
    </row>
    <row r="13" spans="1:5" ht="15" thickBot="1">
      <c r="A13" s="3">
        <f t="shared" si="0"/>
        <v>5</v>
      </c>
      <c r="B13" s="77">
        <f>calc9!J13</f>
        <v>0.1</v>
      </c>
      <c r="C13" s="3">
        <f t="shared" si="1"/>
        <v>0.66355199999999992</v>
      </c>
      <c r="D13" s="3">
        <f t="shared" si="2"/>
        <v>6.0196079341096241E-2</v>
      </c>
      <c r="E13" s="75" t="s">
        <v>91</v>
      </c>
    </row>
    <row r="14" spans="1:5" ht="14.25" thickTop="1">
      <c r="A14" s="3">
        <f t="shared" si="0"/>
        <v>6</v>
      </c>
      <c r="B14" s="3"/>
      <c r="C14" s="3">
        <f t="shared" si="1"/>
        <v>0.26542079999999996</v>
      </c>
      <c r="D14" s="3">
        <f t="shared" si="2"/>
        <v>2.4078431736438498E-2</v>
      </c>
      <c r="E14" s="76">
        <f>$D$3^A14/FACT(A14)</f>
        <v>0.26542079999999996</v>
      </c>
    </row>
    <row r="15" spans="1:5" ht="13.5">
      <c r="A15" s="3">
        <f t="shared" si="0"/>
        <v>7</v>
      </c>
      <c r="B15" s="3"/>
      <c r="C15" s="3">
        <f t="shared" si="1"/>
        <v>9.100141714285713E-2</v>
      </c>
      <c r="D15" s="3">
        <f t="shared" si="2"/>
        <v>8.2554623096360562E-3</v>
      </c>
      <c r="E15" s="76">
        <f>$D$3^A15/FACT(A15)</f>
        <v>9.100141714285713E-2</v>
      </c>
    </row>
    <row r="16" spans="1:5" ht="13.5">
      <c r="A16" s="3">
        <f t="shared" si="0"/>
        <v>8</v>
      </c>
      <c r="B16" s="3"/>
      <c r="C16" s="3">
        <f t="shared" si="1"/>
        <v>2.7300425142857139E-2</v>
      </c>
      <c r="D16" s="3">
        <f t="shared" si="2"/>
        <v>2.476638692890817E-3</v>
      </c>
      <c r="E16" s="76">
        <f>$D$3^A16/FACT(A16)</f>
        <v>2.7300425142857139E-2</v>
      </c>
    </row>
    <row r="17" spans="1:11" ht="13.5">
      <c r="A17" s="3">
        <f t="shared" si="0"/>
        <v>9</v>
      </c>
      <c r="B17" s="3"/>
      <c r="C17" s="3">
        <f t="shared" si="1"/>
        <v>7.2801133714285697E-3</v>
      </c>
      <c r="D17" s="3">
        <f t="shared" si="2"/>
        <v>6.6043698477088444E-4</v>
      </c>
      <c r="E17" s="76">
        <f>$D$3^A17/FACT(A17)</f>
        <v>7.2801133714285706E-3</v>
      </c>
    </row>
    <row r="18" spans="1:11" ht="13.5">
      <c r="A18" s="3">
        <f t="shared" si="0"/>
        <v>10</v>
      </c>
      <c r="B18" s="3"/>
      <c r="C18" s="3">
        <f t="shared" si="1"/>
        <v>1.7472272091428567E-3</v>
      </c>
      <c r="D18" s="3">
        <f t="shared" si="2"/>
        <v>1.5850487634501228E-4</v>
      </c>
      <c r="E18" s="76">
        <f>$D$3^A18/FACT(A18)</f>
        <v>1.747227209142857E-3</v>
      </c>
    </row>
    <row r="19" spans="1:11">
      <c r="A19" s="3">
        <f t="shared" si="0"/>
        <v>11</v>
      </c>
      <c r="B19" s="3"/>
      <c r="C19" s="3">
        <f t="shared" si="1"/>
        <v>3.8121320926753238E-4</v>
      </c>
      <c r="D19" s="3">
        <f t="shared" si="2"/>
        <v>3.4582882111639039E-5</v>
      </c>
    </row>
    <row r="20" spans="1:11">
      <c r="A20" s="3">
        <f t="shared" si="0"/>
        <v>12</v>
      </c>
      <c r="B20" s="3"/>
      <c r="C20" s="3">
        <f t="shared" si="1"/>
        <v>7.6242641853506467E-5</v>
      </c>
      <c r="D20" s="3">
        <f t="shared" si="2"/>
        <v>6.916576422327807E-6</v>
      </c>
    </row>
    <row r="21" spans="1:1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/>
  </sheetViews>
  <sheetFormatPr defaultRowHeight="12.75"/>
  <cols>
    <col min="1" max="2" width="9.33203125" customWidth="1"/>
    <col min="4" max="5" width="9.33203125" customWidth="1"/>
  </cols>
  <sheetData>
    <row r="1" spans="1:5" ht="13.5">
      <c r="A1" s="7" t="s">
        <v>80</v>
      </c>
    </row>
    <row r="2" spans="1:5" ht="15.75">
      <c r="A2" s="1" t="s">
        <v>81</v>
      </c>
    </row>
    <row r="3" spans="1:5">
      <c r="A3" s="82" t="s">
        <v>95</v>
      </c>
      <c r="B3" s="83" t="s">
        <v>96</v>
      </c>
    </row>
    <row r="4" spans="1:5" ht="15.75">
      <c r="A4" s="1" t="s">
        <v>83</v>
      </c>
    </row>
    <row r="5" spans="1:5">
      <c r="A5" s="1" t="s">
        <v>85</v>
      </c>
    </row>
    <row r="6" spans="1:5">
      <c r="A6" s="1"/>
    </row>
    <row r="7" spans="1:5">
      <c r="A7" s="64" t="s">
        <v>82</v>
      </c>
      <c r="D7" s="64" t="s">
        <v>84</v>
      </c>
    </row>
    <row r="8" spans="1:5" ht="15" thickBot="1">
      <c r="A8" s="72" t="s">
        <v>79</v>
      </c>
      <c r="B8" s="73" t="s">
        <v>78</v>
      </c>
      <c r="D8" s="72" t="s">
        <v>79</v>
      </c>
      <c r="E8" s="73" t="s">
        <v>78</v>
      </c>
    </row>
    <row r="9" spans="1:5" ht="13.5" thickTop="1">
      <c r="A9" s="3">
        <v>0.4</v>
      </c>
      <c r="B9" s="3">
        <v>0</v>
      </c>
      <c r="D9" s="3">
        <v>0.34</v>
      </c>
      <c r="E9" s="3">
        <v>0</v>
      </c>
    </row>
    <row r="10" spans="1:5">
      <c r="A10" s="3">
        <v>1</v>
      </c>
      <c r="B10" s="3">
        <v>1</v>
      </c>
      <c r="D10" s="3">
        <v>1.8</v>
      </c>
      <c r="E10" s="3">
        <v>1</v>
      </c>
    </row>
    <row r="11" spans="1:5">
      <c r="A11" s="3">
        <v>2.1</v>
      </c>
      <c r="B11" s="3">
        <v>2</v>
      </c>
      <c r="D11" s="3">
        <v>5.8</v>
      </c>
      <c r="E11" s="3">
        <v>2</v>
      </c>
    </row>
    <row r="12" spans="1:5">
      <c r="A12" s="3">
        <v>6.3</v>
      </c>
      <c r="B12" s="3">
        <v>3</v>
      </c>
      <c r="D12" s="3">
        <v>17</v>
      </c>
      <c r="E12" s="3">
        <v>3</v>
      </c>
    </row>
    <row r="13" spans="1:5">
      <c r="A13" s="3">
        <v>23</v>
      </c>
      <c r="B13" s="3">
        <v>4</v>
      </c>
      <c r="D13" s="3">
        <v>54</v>
      </c>
      <c r="E13" s="3">
        <v>4</v>
      </c>
    </row>
    <row r="14" spans="1:5">
      <c r="A14" s="3">
        <v>99.1</v>
      </c>
      <c r="B14" s="3">
        <v>5</v>
      </c>
      <c r="D14" s="3">
        <v>184</v>
      </c>
      <c r="E14" s="3">
        <v>5</v>
      </c>
    </row>
    <row r="15" spans="1:5">
      <c r="A15" s="3"/>
      <c r="B15" s="3"/>
      <c r="D15" s="3">
        <v>692</v>
      </c>
      <c r="E15" s="3">
        <v>6</v>
      </c>
    </row>
    <row r="16" spans="1:5">
      <c r="A16" s="3"/>
      <c r="B16" s="3"/>
      <c r="D16" s="3">
        <v>2851</v>
      </c>
      <c r="E16" s="3">
        <v>7</v>
      </c>
    </row>
    <row r="17" spans="1:11">
      <c r="A17" s="3"/>
      <c r="B17" s="3"/>
      <c r="D17" s="74">
        <v>12000</v>
      </c>
      <c r="E17" s="3">
        <v>8</v>
      </c>
    </row>
    <row r="19" spans="1:1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</sheetData>
  <phoneticPr fontId="16" type="noConversion"/>
  <hyperlinks>
    <hyperlink ref="B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calc1</vt:lpstr>
      <vt:lpstr>calc9</vt:lpstr>
      <vt:lpstr>limits</vt:lpstr>
      <vt:lpstr>empir&amp;Poi</vt:lpstr>
      <vt:lpstr>sensitivity</vt:lpstr>
      <vt:lpstr>graf1</vt:lpstr>
      <vt:lpstr>graf9</vt:lpstr>
    </vt:vector>
  </TitlesOfParts>
  <Company>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Casquilho</dc:creator>
  <cp:lastModifiedBy>Miguel</cp:lastModifiedBy>
  <cp:lastPrinted>2011-05-08T23:39:36Z</cp:lastPrinted>
  <dcterms:created xsi:type="dcterms:W3CDTF">2010-05-30T18:00:41Z</dcterms:created>
  <dcterms:modified xsi:type="dcterms:W3CDTF">2014-05-23T00:58:17Z</dcterms:modified>
</cp:coreProperties>
</file>